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UJEF\OneDrive - Hilti\Desktop\"/>
    </mc:Choice>
  </mc:AlternateContent>
  <xr:revisionPtr revIDLastSave="0" documentId="13_ncr:1_{DA0EB165-45A7-4BDD-ADD8-9E8056887E9B}" xr6:coauthVersionLast="47" xr6:coauthVersionMax="47" xr10:uidLastSave="{00000000-0000-0000-0000-000000000000}"/>
  <bookViews>
    <workbookView xWindow="-19320" yWindow="-120" windowWidth="19440" windowHeight="15000" tabRatio="964" xr2:uid="{00000000-000D-0000-FFFF-FFFF00000000}"/>
  </bookViews>
  <sheets>
    <sheet name="Budget vs. Actuals" sheetId="1" r:id="rId1"/>
    <sheet name="Trip Acct" sheetId="18" r:id="rId2"/>
    <sheet name="Girls Folkstyle National Duals" sheetId="17" r:id="rId3"/>
    <sheet name="Elem Dual State" sheetId="2" r:id="rId4"/>
    <sheet name="Middle School State" sheetId="3" r:id="rId5"/>
    <sheet name="Folkstyle State" sheetId="4" r:id="rId6"/>
    <sheet name="FS_Greco St" sheetId="5" r:id="rId7"/>
    <sheet name="14UBoysTeam" sheetId="6" r:id="rId8"/>
    <sheet name="16UBoysTeam" sheetId="7" r:id="rId9"/>
    <sheet name="Heartland" sheetId="8" r:id="rId10"/>
    <sheet name="JrDuals Men" sheetId="9" r:id="rId11"/>
    <sheet name="JrDuals Wm" sheetId="10" r:id="rId12"/>
    <sheet name="KidsNat'l" sheetId="11" r:id="rId13"/>
    <sheet name="Central Reg" sheetId="14" r:id="rId14"/>
    <sheet name="Fargo" sheetId="16" r:id="rId15"/>
    <sheet name="14U Event" sheetId="12" r:id="rId16"/>
    <sheet name="16U Event" sheetId="13" r:id="rId17"/>
    <sheet name="Showcase" sheetId="15" r:id="rId1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3" i="1" l="1"/>
  <c r="F327" i="1"/>
  <c r="F68" i="1"/>
  <c r="D22" i="14"/>
  <c r="C22" i="14"/>
  <c r="B22" i="14"/>
  <c r="C19" i="14"/>
  <c r="E19" i="14" s="1"/>
  <c r="B19" i="14"/>
  <c r="D19" i="14" s="1"/>
  <c r="E18" i="14"/>
  <c r="B18" i="14"/>
  <c r="D18" i="14" s="1"/>
  <c r="E17" i="14"/>
  <c r="C17" i="14"/>
  <c r="B17" i="14"/>
  <c r="D17" i="14" s="1"/>
  <c r="C16" i="14"/>
  <c r="E16" i="14" s="1"/>
  <c r="B16" i="14"/>
  <c r="D16" i="14" s="1"/>
  <c r="C15" i="14"/>
  <c r="E15" i="14" s="1"/>
  <c r="B15" i="14"/>
  <c r="D15" i="14" s="1"/>
  <c r="E14" i="14"/>
  <c r="C14" i="14"/>
  <c r="B14" i="14"/>
  <c r="D14" i="14" s="1"/>
  <c r="C13" i="14"/>
  <c r="E13" i="14" s="1"/>
  <c r="B13" i="14"/>
  <c r="D13" i="14" s="1"/>
  <c r="C12" i="14"/>
  <c r="C20" i="14" s="1"/>
  <c r="B12" i="14"/>
  <c r="D12" i="14" s="1"/>
  <c r="E11" i="14"/>
  <c r="C11" i="14"/>
  <c r="B11" i="14"/>
  <c r="D11" i="14" s="1"/>
  <c r="E10" i="14"/>
  <c r="D10" i="14"/>
  <c r="C7" i="14"/>
  <c r="E7" i="14" s="1"/>
  <c r="B7" i="14"/>
  <c r="D7" i="14" s="1"/>
  <c r="E6" i="14"/>
  <c r="B6" i="14"/>
  <c r="D6" i="14" s="1"/>
  <c r="E5" i="14"/>
  <c r="C5" i="14"/>
  <c r="D5" i="14" s="1"/>
  <c r="B5" i="14"/>
  <c r="B8" i="14" s="1"/>
  <c r="E4" i="14"/>
  <c r="D4" i="14"/>
  <c r="C15" i="11"/>
  <c r="B15" i="11"/>
  <c r="E4" i="11"/>
  <c r="C4" i="11"/>
  <c r="B4" i="11"/>
  <c r="D4" i="11" s="1"/>
  <c r="C13" i="11"/>
  <c r="E13" i="11" s="1"/>
  <c r="B13" i="11"/>
  <c r="D13" i="11" s="1"/>
  <c r="E12" i="11"/>
  <c r="D12" i="11"/>
  <c r="C12" i="11"/>
  <c r="E11" i="11"/>
  <c r="C11" i="11"/>
  <c r="D11" i="11" s="1"/>
  <c r="C10" i="11"/>
  <c r="E10" i="11" s="1"/>
  <c r="B10" i="11"/>
  <c r="D10" i="11" s="1"/>
  <c r="C9" i="11"/>
  <c r="E9" i="11" s="1"/>
  <c r="B9" i="11"/>
  <c r="B14" i="11" s="1"/>
  <c r="D8" i="11"/>
  <c r="C8" i="11"/>
  <c r="E8" i="11" s="1"/>
  <c r="C7" i="11"/>
  <c r="E7" i="11" s="1"/>
  <c r="E6" i="11"/>
  <c r="D6" i="11"/>
  <c r="D17" i="10"/>
  <c r="C17" i="10"/>
  <c r="B17" i="10"/>
  <c r="E15" i="10"/>
  <c r="C15" i="10"/>
  <c r="B15" i="10"/>
  <c r="D15" i="10" s="1"/>
  <c r="C14" i="10"/>
  <c r="E14" i="10" s="1"/>
  <c r="B14" i="10"/>
  <c r="B16" i="10" s="1"/>
  <c r="C13" i="10"/>
  <c r="E13" i="10" s="1"/>
  <c r="E12" i="10"/>
  <c r="D12" i="10"/>
  <c r="C12" i="10"/>
  <c r="C11" i="10"/>
  <c r="E11" i="10" s="1"/>
  <c r="C10" i="10"/>
  <c r="E10" i="10" s="1"/>
  <c r="B10" i="10"/>
  <c r="C9" i="10"/>
  <c r="E9" i="10" s="1"/>
  <c r="E8" i="10"/>
  <c r="C8" i="10"/>
  <c r="B8" i="10"/>
  <c r="D8" i="10" s="1"/>
  <c r="C7" i="10"/>
  <c r="C16" i="10" s="1"/>
  <c r="E16" i="10" s="1"/>
  <c r="E6" i="10"/>
  <c r="D6" i="10"/>
  <c r="C4" i="10"/>
  <c r="E4" i="10" s="1"/>
  <c r="B4" i="10"/>
  <c r="D4" i="10" s="1"/>
  <c r="D17" i="9"/>
  <c r="D19" i="9"/>
  <c r="C19" i="9"/>
  <c r="B19" i="9"/>
  <c r="C4" i="9"/>
  <c r="E4" i="9" s="1"/>
  <c r="B4" i="9"/>
  <c r="D4" i="9" s="1"/>
  <c r="C16" i="9"/>
  <c r="B16" i="9"/>
  <c r="E16" i="9" s="1"/>
  <c r="C15" i="9"/>
  <c r="E15" i="9" s="1"/>
  <c r="B15" i="9"/>
  <c r="D15" i="9" s="1"/>
  <c r="D14" i="9"/>
  <c r="C14" i="9"/>
  <c r="E14" i="9" s="1"/>
  <c r="E13" i="9"/>
  <c r="D13" i="9"/>
  <c r="C13" i="9"/>
  <c r="B13" i="9"/>
  <c r="E12" i="9"/>
  <c r="C12" i="9"/>
  <c r="D12" i="9" s="1"/>
  <c r="D11" i="9"/>
  <c r="C11" i="9"/>
  <c r="E11" i="9" s="1"/>
  <c r="B11" i="9"/>
  <c r="B17" i="9" s="1"/>
  <c r="E10" i="9"/>
  <c r="D10" i="9"/>
  <c r="C10" i="9"/>
  <c r="B10" i="9"/>
  <c r="D9" i="9"/>
  <c r="C9" i="9"/>
  <c r="E9" i="9" s="1"/>
  <c r="C8" i="9"/>
  <c r="C17" i="9" s="1"/>
  <c r="E17" i="9" s="1"/>
  <c r="E7" i="9"/>
  <c r="D7" i="9"/>
  <c r="E6" i="9"/>
  <c r="D6" i="9"/>
  <c r="C331" i="1"/>
  <c r="E331" i="1" s="1"/>
  <c r="E330" i="1"/>
  <c r="B330" i="1"/>
  <c r="B331" i="1" s="1"/>
  <c r="C326" i="1"/>
  <c r="B326" i="1"/>
  <c r="C325" i="1"/>
  <c r="B325" i="1"/>
  <c r="C323" i="1"/>
  <c r="C324" i="1" s="1"/>
  <c r="B323" i="1"/>
  <c r="E322" i="1"/>
  <c r="D322" i="1"/>
  <c r="C319" i="1"/>
  <c r="E319" i="1" s="1"/>
  <c r="E318" i="1"/>
  <c r="B318" i="1"/>
  <c r="D318" i="1" s="1"/>
  <c r="E317" i="1"/>
  <c r="D317" i="1"/>
  <c r="C315" i="1"/>
  <c r="B315" i="1"/>
  <c r="D315" i="1" s="1"/>
  <c r="C314" i="1"/>
  <c r="C313" i="1"/>
  <c r="D313" i="1" s="1"/>
  <c r="C312" i="1"/>
  <c r="B312" i="1"/>
  <c r="C311" i="1"/>
  <c r="B311" i="1"/>
  <c r="C310" i="1"/>
  <c r="E310" i="1" s="1"/>
  <c r="C309" i="1"/>
  <c r="E308" i="1"/>
  <c r="D308" i="1"/>
  <c r="C306" i="1"/>
  <c r="B306" i="1"/>
  <c r="E305" i="1"/>
  <c r="B305" i="1"/>
  <c r="D305" i="1" s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E297" i="1"/>
  <c r="D297" i="1"/>
  <c r="E296" i="1"/>
  <c r="D296" i="1"/>
  <c r="C293" i="1"/>
  <c r="E293" i="1" s="1"/>
  <c r="C292" i="1"/>
  <c r="B292" i="1"/>
  <c r="C286" i="1"/>
  <c r="C285" i="1"/>
  <c r="B285" i="1"/>
  <c r="B287" i="1" s="1"/>
  <c r="E284" i="1"/>
  <c r="D284" i="1"/>
  <c r="C283" i="1"/>
  <c r="D283" i="1" s="1"/>
  <c r="C281" i="1"/>
  <c r="B281" i="1"/>
  <c r="C280" i="1"/>
  <c r="D280" i="1" s="1"/>
  <c r="C279" i="1"/>
  <c r="E279" i="1" s="1"/>
  <c r="C278" i="1"/>
  <c r="D278" i="1" s="1"/>
  <c r="C277" i="1"/>
  <c r="B277" i="1"/>
  <c r="C276" i="1"/>
  <c r="B276" i="1"/>
  <c r="C275" i="1"/>
  <c r="B275" i="1"/>
  <c r="C274" i="1"/>
  <c r="D274" i="1" s="1"/>
  <c r="C273" i="1"/>
  <c r="E272" i="1"/>
  <c r="D272" i="1"/>
  <c r="C269" i="1"/>
  <c r="B269" i="1"/>
  <c r="C268" i="1"/>
  <c r="B268" i="1"/>
  <c r="C267" i="1"/>
  <c r="D267" i="1" s="1"/>
  <c r="C266" i="1"/>
  <c r="D266" i="1" s="1"/>
  <c r="C265" i="1"/>
  <c r="E265" i="1" s="1"/>
  <c r="C264" i="1"/>
  <c r="B264" i="1"/>
  <c r="C263" i="1"/>
  <c r="E263" i="1" s="1"/>
  <c r="C262" i="1"/>
  <c r="B262" i="1"/>
  <c r="C261" i="1"/>
  <c r="D261" i="1" s="1"/>
  <c r="E260" i="1"/>
  <c r="D260" i="1"/>
  <c r="C258" i="1"/>
  <c r="B258" i="1"/>
  <c r="C257" i="1"/>
  <c r="B257" i="1"/>
  <c r="C256" i="1"/>
  <c r="E256" i="1" s="1"/>
  <c r="C255" i="1"/>
  <c r="B255" i="1"/>
  <c r="C254" i="1"/>
  <c r="E254" i="1" s="1"/>
  <c r="C253" i="1"/>
  <c r="B253" i="1"/>
  <c r="C252" i="1"/>
  <c r="B252" i="1"/>
  <c r="C251" i="1"/>
  <c r="C250" i="1"/>
  <c r="E250" i="1" s="1"/>
  <c r="E249" i="1"/>
  <c r="D249" i="1"/>
  <c r="E248" i="1"/>
  <c r="D248" i="1"/>
  <c r="C245" i="1"/>
  <c r="B245" i="1"/>
  <c r="C244" i="1"/>
  <c r="B244" i="1"/>
  <c r="C243" i="1"/>
  <c r="D243" i="1" s="1"/>
  <c r="C242" i="1"/>
  <c r="B242" i="1"/>
  <c r="C241" i="1"/>
  <c r="B241" i="1"/>
  <c r="C240" i="1"/>
  <c r="B240" i="1"/>
  <c r="E239" i="1"/>
  <c r="D239" i="1"/>
  <c r="C237" i="1"/>
  <c r="B237" i="1"/>
  <c r="C236" i="1"/>
  <c r="B236" i="1"/>
  <c r="C235" i="1"/>
  <c r="C234" i="1"/>
  <c r="B234" i="1"/>
  <c r="C233" i="1"/>
  <c r="B233" i="1"/>
  <c r="C232" i="1"/>
  <c r="B232" i="1"/>
  <c r="C231" i="1"/>
  <c r="B231" i="1"/>
  <c r="E230" i="1"/>
  <c r="D230" i="1"/>
  <c r="C229" i="1"/>
  <c r="B229" i="1"/>
  <c r="C228" i="1"/>
  <c r="E228" i="1" s="1"/>
  <c r="E227" i="1"/>
  <c r="D227" i="1"/>
  <c r="B226" i="1"/>
  <c r="C225" i="1"/>
  <c r="D225" i="1" s="1"/>
  <c r="C224" i="1"/>
  <c r="E224" i="1" s="1"/>
  <c r="C223" i="1"/>
  <c r="E223" i="1" s="1"/>
  <c r="C222" i="1"/>
  <c r="D222" i="1" s="1"/>
  <c r="C221" i="1"/>
  <c r="D221" i="1" s="1"/>
  <c r="C220" i="1"/>
  <c r="E220" i="1" s="1"/>
  <c r="C219" i="1"/>
  <c r="E219" i="1" s="1"/>
  <c r="C218" i="1"/>
  <c r="E218" i="1" s="1"/>
  <c r="E217" i="1"/>
  <c r="D217" i="1"/>
  <c r="C215" i="1"/>
  <c r="B215" i="1"/>
  <c r="C214" i="1"/>
  <c r="B214" i="1"/>
  <c r="C213" i="1"/>
  <c r="B213" i="1"/>
  <c r="C212" i="1"/>
  <c r="E212" i="1" s="1"/>
  <c r="C211" i="1"/>
  <c r="B211" i="1"/>
  <c r="C210" i="1"/>
  <c r="B210" i="1"/>
  <c r="C209" i="1"/>
  <c r="B209" i="1"/>
  <c r="C208" i="1"/>
  <c r="D208" i="1" s="1"/>
  <c r="E207" i="1"/>
  <c r="D207" i="1"/>
  <c r="C204" i="1"/>
  <c r="B204" i="1"/>
  <c r="C203" i="1"/>
  <c r="B203" i="1"/>
  <c r="C202" i="1"/>
  <c r="E202" i="1" s="1"/>
  <c r="C201" i="1"/>
  <c r="D201" i="1" s="1"/>
  <c r="C200" i="1"/>
  <c r="D200" i="1" s="1"/>
  <c r="E199" i="1"/>
  <c r="D199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D191" i="1" s="1"/>
  <c r="C190" i="1"/>
  <c r="B190" i="1"/>
  <c r="E189" i="1"/>
  <c r="D189" i="1"/>
  <c r="E188" i="1"/>
  <c r="D188" i="1"/>
  <c r="E187" i="1"/>
  <c r="D187" i="1"/>
  <c r="C185" i="1"/>
  <c r="C184" i="1"/>
  <c r="B184" i="1"/>
  <c r="C183" i="1"/>
  <c r="B183" i="1"/>
  <c r="C182" i="1"/>
  <c r="E182" i="1" s="1"/>
  <c r="C181" i="1"/>
  <c r="D181" i="1" s="1"/>
  <c r="E180" i="1"/>
  <c r="D180" i="1"/>
  <c r="C179" i="1"/>
  <c r="B179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E167" i="1"/>
  <c r="D167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E156" i="1"/>
  <c r="D156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E146" i="1"/>
  <c r="B146" i="1"/>
  <c r="D146" i="1" s="1"/>
  <c r="C145" i="1"/>
  <c r="B145" i="1"/>
  <c r="E144" i="1"/>
  <c r="D144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E133" i="1"/>
  <c r="D133" i="1"/>
  <c r="E132" i="1"/>
  <c r="D132" i="1"/>
  <c r="E131" i="1"/>
  <c r="D131" i="1"/>
  <c r="C128" i="1"/>
  <c r="B128" i="1"/>
  <c r="C127" i="1"/>
  <c r="B127" i="1"/>
  <c r="C126" i="1"/>
  <c r="B126" i="1"/>
  <c r="E125" i="1"/>
  <c r="D125" i="1"/>
  <c r="C123" i="1"/>
  <c r="C122" i="1"/>
  <c r="B122" i="1"/>
  <c r="B124" i="1" s="1"/>
  <c r="E121" i="1"/>
  <c r="D121" i="1"/>
  <c r="C119" i="1"/>
  <c r="B119" i="1"/>
  <c r="C118" i="1"/>
  <c r="B118" i="1"/>
  <c r="C115" i="1"/>
  <c r="C114" i="1"/>
  <c r="B114" i="1"/>
  <c r="C113" i="1"/>
  <c r="E113" i="1" s="1"/>
  <c r="E112" i="1"/>
  <c r="D112" i="1"/>
  <c r="C111" i="1"/>
  <c r="B111" i="1"/>
  <c r="C110" i="1"/>
  <c r="B110" i="1"/>
  <c r="C109" i="1"/>
  <c r="B109" i="1"/>
  <c r="C107" i="1"/>
  <c r="B107" i="1"/>
  <c r="C106" i="1"/>
  <c r="B106" i="1"/>
  <c r="C105" i="1"/>
  <c r="B105" i="1"/>
  <c r="E104" i="1"/>
  <c r="D104" i="1"/>
  <c r="E103" i="1"/>
  <c r="D103" i="1"/>
  <c r="C100" i="1"/>
  <c r="E100" i="1" s="1"/>
  <c r="C98" i="1"/>
  <c r="B98" i="1"/>
  <c r="C97" i="1"/>
  <c r="D97" i="1" s="1"/>
  <c r="C96" i="1"/>
  <c r="D96" i="1" s="1"/>
  <c r="C95" i="1"/>
  <c r="E95" i="1" s="1"/>
  <c r="E94" i="1"/>
  <c r="D94" i="1"/>
  <c r="C92" i="1"/>
  <c r="B92" i="1"/>
  <c r="C91" i="1"/>
  <c r="B91" i="1"/>
  <c r="C90" i="1"/>
  <c r="B90" i="1"/>
  <c r="C89" i="1"/>
  <c r="E89" i="1" s="1"/>
  <c r="C88" i="1"/>
  <c r="E88" i="1" s="1"/>
  <c r="E87" i="1"/>
  <c r="D87" i="1"/>
  <c r="E86" i="1"/>
  <c r="D86" i="1"/>
  <c r="C85" i="1"/>
  <c r="B85" i="1"/>
  <c r="C84" i="1"/>
  <c r="B84" i="1"/>
  <c r="C81" i="1"/>
  <c r="B81" i="1"/>
  <c r="C80" i="1"/>
  <c r="B80" i="1"/>
  <c r="E79" i="1"/>
  <c r="D79" i="1"/>
  <c r="C78" i="1"/>
  <c r="B78" i="1"/>
  <c r="C77" i="1"/>
  <c r="B77" i="1"/>
  <c r="C76" i="1"/>
  <c r="B76" i="1"/>
  <c r="C75" i="1"/>
  <c r="B75" i="1"/>
  <c r="C73" i="1"/>
  <c r="C74" i="1" s="1"/>
  <c r="B73" i="1"/>
  <c r="B74" i="1" s="1"/>
  <c r="E72" i="1"/>
  <c r="D72" i="1"/>
  <c r="E71" i="1"/>
  <c r="D71" i="1"/>
  <c r="C65" i="1"/>
  <c r="B65" i="1"/>
  <c r="E64" i="1"/>
  <c r="B64" i="1"/>
  <c r="D64" i="1" s="1"/>
  <c r="C63" i="1"/>
  <c r="B63" i="1"/>
  <c r="E62" i="1"/>
  <c r="D62" i="1"/>
  <c r="E61" i="1"/>
  <c r="D61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1" i="1"/>
  <c r="E51" i="1" s="1"/>
  <c r="C50" i="1"/>
  <c r="B50" i="1"/>
  <c r="B52" i="1" s="1"/>
  <c r="C49" i="1"/>
  <c r="E49" i="1" s="1"/>
  <c r="C48" i="1"/>
  <c r="B48" i="1"/>
  <c r="C47" i="1"/>
  <c r="B47" i="1"/>
  <c r="C46" i="1"/>
  <c r="B46" i="1"/>
  <c r="E45" i="1"/>
  <c r="D45" i="1"/>
  <c r="C42" i="1"/>
  <c r="B42" i="1"/>
  <c r="C41" i="1"/>
  <c r="B41" i="1"/>
  <c r="C40" i="1"/>
  <c r="B40" i="1"/>
  <c r="E39" i="1"/>
  <c r="D39" i="1"/>
  <c r="C37" i="1"/>
  <c r="B37" i="1"/>
  <c r="C36" i="1"/>
  <c r="B36" i="1"/>
  <c r="C35" i="1"/>
  <c r="B35" i="1"/>
  <c r="E34" i="1"/>
  <c r="D34" i="1"/>
  <c r="C32" i="1"/>
  <c r="B32" i="1"/>
  <c r="C31" i="1"/>
  <c r="B31" i="1"/>
  <c r="C30" i="1"/>
  <c r="B30" i="1"/>
  <c r="E29" i="1"/>
  <c r="D29" i="1"/>
  <c r="C27" i="1"/>
  <c r="B27" i="1"/>
  <c r="C26" i="1"/>
  <c r="B26" i="1"/>
  <c r="C25" i="1"/>
  <c r="B25" i="1"/>
  <c r="E24" i="1"/>
  <c r="D24" i="1"/>
  <c r="E23" i="1"/>
  <c r="D23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3" i="1"/>
  <c r="B13" i="1"/>
  <c r="C12" i="1"/>
  <c r="B12" i="1"/>
  <c r="C11" i="1"/>
  <c r="B11" i="1"/>
  <c r="C10" i="1"/>
  <c r="B10" i="1"/>
  <c r="C9" i="1"/>
  <c r="B9" i="1"/>
  <c r="E8" i="1"/>
  <c r="D8" i="1"/>
  <c r="B29" i="8"/>
  <c r="E28" i="8"/>
  <c r="D28" i="8"/>
  <c r="C28" i="8"/>
  <c r="B28" i="8"/>
  <c r="C27" i="8"/>
  <c r="E27" i="8" s="1"/>
  <c r="B27" i="8"/>
  <c r="D27" i="8" s="1"/>
  <c r="E26" i="8"/>
  <c r="D26" i="8"/>
  <c r="C26" i="8"/>
  <c r="C25" i="8"/>
  <c r="D25" i="8" s="1"/>
  <c r="B25" i="8"/>
  <c r="E24" i="8"/>
  <c r="C24" i="8"/>
  <c r="B24" i="8"/>
  <c r="D24" i="8" s="1"/>
  <c r="D23" i="8"/>
  <c r="C23" i="8"/>
  <c r="E23" i="8" s="1"/>
  <c r="B23" i="8"/>
  <c r="E22" i="8"/>
  <c r="D22" i="8"/>
  <c r="C20" i="8"/>
  <c r="E20" i="8" s="1"/>
  <c r="B20" i="8"/>
  <c r="D20" i="8" s="1"/>
  <c r="C19" i="8"/>
  <c r="E19" i="8" s="1"/>
  <c r="B19" i="8"/>
  <c r="D19" i="8" s="1"/>
  <c r="E18" i="8"/>
  <c r="C18" i="8"/>
  <c r="D18" i="8" s="1"/>
  <c r="C17" i="8"/>
  <c r="E17" i="8" s="1"/>
  <c r="B17" i="8"/>
  <c r="D17" i="8" s="1"/>
  <c r="C16" i="8"/>
  <c r="B16" i="8"/>
  <c r="E16" i="8" s="1"/>
  <c r="E15" i="8"/>
  <c r="D15" i="8"/>
  <c r="C15" i="8"/>
  <c r="B15" i="8"/>
  <c r="C14" i="8"/>
  <c r="E14" i="8" s="1"/>
  <c r="B14" i="8"/>
  <c r="B21" i="8" s="1"/>
  <c r="E13" i="8"/>
  <c r="D13" i="8"/>
  <c r="C12" i="8"/>
  <c r="E12" i="8" s="1"/>
  <c r="B12" i="8"/>
  <c r="E11" i="8"/>
  <c r="D11" i="8"/>
  <c r="C11" i="8"/>
  <c r="E10" i="8"/>
  <c r="D10" i="8"/>
  <c r="B8" i="8"/>
  <c r="C7" i="8"/>
  <c r="D7" i="8" s="1"/>
  <c r="B7" i="8"/>
  <c r="C6" i="8"/>
  <c r="E6" i="8" s="1"/>
  <c r="C5" i="8"/>
  <c r="E5" i="8" s="1"/>
  <c r="C4" i="8"/>
  <c r="E4" i="8" s="1"/>
  <c r="B4" i="8"/>
  <c r="B6" i="8" s="1"/>
  <c r="D6" i="8" s="1"/>
  <c r="C4" i="7"/>
  <c r="E4" i="7" s="1"/>
  <c r="B4" i="7"/>
  <c r="C14" i="7"/>
  <c r="E14" i="7" s="1"/>
  <c r="B14" i="7"/>
  <c r="D14" i="7" s="1"/>
  <c r="E13" i="7"/>
  <c r="D13" i="7"/>
  <c r="C13" i="7"/>
  <c r="B13" i="7"/>
  <c r="E12" i="7"/>
  <c r="D12" i="7"/>
  <c r="C12" i="7"/>
  <c r="B12" i="7"/>
  <c r="C11" i="7"/>
  <c r="E11" i="7" s="1"/>
  <c r="C10" i="7"/>
  <c r="D10" i="7" s="1"/>
  <c r="B10" i="7"/>
  <c r="C9" i="7"/>
  <c r="D9" i="7" s="1"/>
  <c r="B9" i="7"/>
  <c r="C8" i="7"/>
  <c r="E8" i="7" s="1"/>
  <c r="B8" i="7"/>
  <c r="D8" i="7" s="1"/>
  <c r="C7" i="7"/>
  <c r="C15" i="7" s="1"/>
  <c r="E6" i="7"/>
  <c r="D6" i="7"/>
  <c r="D19" i="6"/>
  <c r="C19" i="6"/>
  <c r="B19" i="6"/>
  <c r="C15" i="6"/>
  <c r="E15" i="6" s="1"/>
  <c r="B15" i="6"/>
  <c r="D15" i="6" s="1"/>
  <c r="C14" i="6"/>
  <c r="E14" i="6" s="1"/>
  <c r="B14" i="6"/>
  <c r="D14" i="6" s="1"/>
  <c r="C13" i="6"/>
  <c r="B13" i="6"/>
  <c r="C12" i="6"/>
  <c r="B12" i="6"/>
  <c r="D12" i="6" s="1"/>
  <c r="E11" i="6"/>
  <c r="D11" i="6"/>
  <c r="C11" i="6"/>
  <c r="B11" i="6"/>
  <c r="C10" i="6"/>
  <c r="E10" i="6" s="1"/>
  <c r="B10" i="6"/>
  <c r="D10" i="6" s="1"/>
  <c r="C9" i="6"/>
  <c r="D9" i="6" s="1"/>
  <c r="C8" i="6"/>
  <c r="B8" i="6"/>
  <c r="E7" i="6"/>
  <c r="D7" i="6"/>
  <c r="C4" i="6"/>
  <c r="B4" i="6"/>
  <c r="D4" i="6" s="1"/>
  <c r="C7" i="5"/>
  <c r="E7" i="5" s="1"/>
  <c r="B7" i="5"/>
  <c r="D7" i="5" s="1"/>
  <c r="E6" i="5"/>
  <c r="D6" i="5"/>
  <c r="C6" i="5"/>
  <c r="B6" i="5"/>
  <c r="C5" i="5"/>
  <c r="D5" i="5" s="1"/>
  <c r="B5" i="5"/>
  <c r="B8" i="5" s="1"/>
  <c r="E4" i="5"/>
  <c r="D4" i="5"/>
  <c r="E19" i="5"/>
  <c r="C19" i="5"/>
  <c r="B19" i="5"/>
  <c r="D19" i="5" s="1"/>
  <c r="C18" i="5"/>
  <c r="E18" i="5" s="1"/>
  <c r="B18" i="5"/>
  <c r="D18" i="5" s="1"/>
  <c r="C17" i="5"/>
  <c r="E17" i="5" s="1"/>
  <c r="B17" i="5"/>
  <c r="D17" i="5" s="1"/>
  <c r="E16" i="5"/>
  <c r="C16" i="5"/>
  <c r="B16" i="5"/>
  <c r="D16" i="5" s="1"/>
  <c r="C15" i="5"/>
  <c r="E15" i="5" s="1"/>
  <c r="B15" i="5"/>
  <c r="D15" i="5" s="1"/>
  <c r="C14" i="5"/>
  <c r="E14" i="5" s="1"/>
  <c r="B14" i="5"/>
  <c r="D14" i="5" s="1"/>
  <c r="E13" i="5"/>
  <c r="C13" i="5"/>
  <c r="B13" i="5"/>
  <c r="D13" i="5" s="1"/>
  <c r="C12" i="5"/>
  <c r="E12" i="5" s="1"/>
  <c r="B12" i="5"/>
  <c r="D12" i="5" s="1"/>
  <c r="C11" i="5"/>
  <c r="E11" i="5" s="1"/>
  <c r="B11" i="5"/>
  <c r="D11" i="5" s="1"/>
  <c r="E10" i="5"/>
  <c r="D10" i="5"/>
  <c r="B21" i="4"/>
  <c r="E20" i="4"/>
  <c r="C20" i="4"/>
  <c r="B20" i="4"/>
  <c r="D20" i="4" s="1"/>
  <c r="E19" i="4"/>
  <c r="D19" i="4"/>
  <c r="C19" i="4"/>
  <c r="B19" i="4"/>
  <c r="C18" i="4"/>
  <c r="E18" i="4" s="1"/>
  <c r="B18" i="4"/>
  <c r="D18" i="4" s="1"/>
  <c r="E17" i="4"/>
  <c r="C17" i="4"/>
  <c r="B17" i="4"/>
  <c r="D17" i="4" s="1"/>
  <c r="E16" i="4"/>
  <c r="D16" i="4"/>
  <c r="C16" i="4"/>
  <c r="B16" i="4"/>
  <c r="C15" i="4"/>
  <c r="E15" i="4" s="1"/>
  <c r="B15" i="4"/>
  <c r="D15" i="4" s="1"/>
  <c r="E14" i="4"/>
  <c r="C14" i="4"/>
  <c r="B14" i="4"/>
  <c r="D14" i="4" s="1"/>
  <c r="E13" i="4"/>
  <c r="D13" i="4"/>
  <c r="C13" i="4"/>
  <c r="B13" i="4"/>
  <c r="E12" i="4"/>
  <c r="B12" i="4"/>
  <c r="D12" i="4" s="1"/>
  <c r="E11" i="4"/>
  <c r="D11" i="4"/>
  <c r="C11" i="4"/>
  <c r="B11" i="4"/>
  <c r="E10" i="4"/>
  <c r="D10" i="4"/>
  <c r="C7" i="4"/>
  <c r="E7" i="4" s="1"/>
  <c r="B7" i="4"/>
  <c r="D7" i="4" s="1"/>
  <c r="E6" i="4"/>
  <c r="D6" i="4"/>
  <c r="C6" i="4"/>
  <c r="B6" i="4"/>
  <c r="C5" i="4"/>
  <c r="E5" i="4" s="1"/>
  <c r="B5" i="4"/>
  <c r="B8" i="4" s="1"/>
  <c r="E4" i="4"/>
  <c r="D4" i="4"/>
  <c r="D23" i="3"/>
  <c r="C23" i="3"/>
  <c r="B23" i="3"/>
  <c r="C7" i="3"/>
  <c r="E7" i="3" s="1"/>
  <c r="B7" i="3"/>
  <c r="D7" i="3" s="1"/>
  <c r="E6" i="3"/>
  <c r="D6" i="3"/>
  <c r="C6" i="3"/>
  <c r="B6" i="3"/>
  <c r="E5" i="3"/>
  <c r="C5" i="3"/>
  <c r="C8" i="3" s="1"/>
  <c r="B5" i="3"/>
  <c r="D5" i="3" s="1"/>
  <c r="C19" i="3"/>
  <c r="E19" i="3" s="1"/>
  <c r="B19" i="3"/>
  <c r="D19" i="3" s="1"/>
  <c r="E18" i="3"/>
  <c r="D18" i="3"/>
  <c r="C18" i="3"/>
  <c r="B18" i="3"/>
  <c r="E17" i="3"/>
  <c r="D17" i="3"/>
  <c r="C17" i="3"/>
  <c r="B17" i="3"/>
  <c r="C16" i="3"/>
  <c r="E16" i="3" s="1"/>
  <c r="B16" i="3"/>
  <c r="D16" i="3" s="1"/>
  <c r="E15" i="3"/>
  <c r="D15" i="3"/>
  <c r="C15" i="3"/>
  <c r="B15" i="3"/>
  <c r="E14" i="3"/>
  <c r="D14" i="3"/>
  <c r="C14" i="3"/>
  <c r="B14" i="3"/>
  <c r="C13" i="3"/>
  <c r="E13" i="3" s="1"/>
  <c r="B13" i="3"/>
  <c r="D13" i="3" s="1"/>
  <c r="E12" i="3"/>
  <c r="D12" i="3"/>
  <c r="C12" i="3"/>
  <c r="B12" i="3"/>
  <c r="E11" i="3"/>
  <c r="D11" i="3"/>
  <c r="C11" i="3"/>
  <c r="C20" i="3" s="1"/>
  <c r="B11" i="3"/>
  <c r="B20" i="3" s="1"/>
  <c r="D20" i="3" s="1"/>
  <c r="E10" i="3"/>
  <c r="D10" i="3"/>
  <c r="D23" i="2"/>
  <c r="C23" i="2"/>
  <c r="B23" i="2"/>
  <c r="C19" i="2"/>
  <c r="E19" i="2" s="1"/>
  <c r="B19" i="2"/>
  <c r="D19" i="2" s="1"/>
  <c r="E18" i="2"/>
  <c r="D18" i="2"/>
  <c r="C18" i="2"/>
  <c r="B18" i="2"/>
  <c r="C17" i="2"/>
  <c r="E17" i="2" s="1"/>
  <c r="B17" i="2"/>
  <c r="D17" i="2" s="1"/>
  <c r="C16" i="2"/>
  <c r="E16" i="2" s="1"/>
  <c r="B16" i="2"/>
  <c r="D16" i="2" s="1"/>
  <c r="E15" i="2"/>
  <c r="D15" i="2"/>
  <c r="C15" i="2"/>
  <c r="B15" i="2"/>
  <c r="C14" i="2"/>
  <c r="E14" i="2" s="1"/>
  <c r="B14" i="2"/>
  <c r="D14" i="2" s="1"/>
  <c r="C13" i="2"/>
  <c r="E13" i="2" s="1"/>
  <c r="B13" i="2"/>
  <c r="D13" i="2" s="1"/>
  <c r="E12" i="2"/>
  <c r="D12" i="2"/>
  <c r="C12" i="2"/>
  <c r="B12" i="2"/>
  <c r="C11" i="2"/>
  <c r="E11" i="2" s="1"/>
  <c r="B11" i="2"/>
  <c r="D11" i="2" s="1"/>
  <c r="E10" i="2"/>
  <c r="D10" i="2"/>
  <c r="C7" i="2"/>
  <c r="E7" i="2" s="1"/>
  <c r="B7" i="2"/>
  <c r="D7" i="2" s="1"/>
  <c r="E6" i="2"/>
  <c r="D6" i="2"/>
  <c r="C6" i="2"/>
  <c r="B6" i="2"/>
  <c r="C5" i="2"/>
  <c r="C8" i="2" s="1"/>
  <c r="B5" i="2"/>
  <c r="D5" i="2" s="1"/>
  <c r="D8" i="17"/>
  <c r="C8" i="17"/>
  <c r="B8" i="17"/>
  <c r="C7" i="17"/>
  <c r="E7" i="17" s="1"/>
  <c r="B7" i="17"/>
  <c r="E6" i="17"/>
  <c r="D6" i="17"/>
  <c r="C4" i="17"/>
  <c r="E4" i="17" s="1"/>
  <c r="B4" i="17"/>
  <c r="D4" i="17" s="1"/>
  <c r="F23" i="18"/>
  <c r="F24" i="18" s="1"/>
  <c r="F26" i="18" s="1"/>
  <c r="F27" i="18" s="1"/>
  <c r="H24" i="18"/>
  <c r="H26" i="18" s="1"/>
  <c r="H27" i="18" s="1"/>
  <c r="K23" i="18"/>
  <c r="K24" i="18" s="1"/>
  <c r="K27" i="18" s="1"/>
  <c r="J23" i="18"/>
  <c r="J24" i="18" s="1"/>
  <c r="J26" i="18" s="1"/>
  <c r="J27" i="18" s="1"/>
  <c r="I23" i="18"/>
  <c r="I24" i="18" s="1"/>
  <c r="I26" i="18" s="1"/>
  <c r="I27" i="18" s="1"/>
  <c r="H23" i="18"/>
  <c r="E23" i="18"/>
  <c r="E24" i="18" s="1"/>
  <c r="E26" i="18" s="1"/>
  <c r="E27" i="18" s="1"/>
  <c r="D23" i="18"/>
  <c r="D24" i="18" s="1"/>
  <c r="D26" i="18" s="1"/>
  <c r="D27" i="18" s="1"/>
  <c r="C23" i="18"/>
  <c r="C24" i="18" s="1"/>
  <c r="C26" i="18" s="1"/>
  <c r="C27" i="18" s="1"/>
  <c r="B23" i="18"/>
  <c r="B24" i="18" s="1"/>
  <c r="B26" i="18" s="1"/>
  <c r="B27" i="18" s="1"/>
  <c r="E278" i="1" l="1"/>
  <c r="E301" i="1"/>
  <c r="E159" i="1"/>
  <c r="E165" i="1"/>
  <c r="C99" i="1"/>
  <c r="C101" i="1" s="1"/>
  <c r="D106" i="1"/>
  <c r="E171" i="1"/>
  <c r="E194" i="1"/>
  <c r="D202" i="1"/>
  <c r="D211" i="1"/>
  <c r="E252" i="1"/>
  <c r="D326" i="1"/>
  <c r="D302" i="1"/>
  <c r="D48" i="1"/>
  <c r="D255" i="1"/>
  <c r="E257" i="1"/>
  <c r="E10" i="1"/>
  <c r="D55" i="1"/>
  <c r="D153" i="1"/>
  <c r="D173" i="1"/>
  <c r="E280" i="1"/>
  <c r="E135" i="1"/>
  <c r="E161" i="1"/>
  <c r="E26" i="1"/>
  <c r="D20" i="1"/>
  <c r="D27" i="1"/>
  <c r="E50" i="1"/>
  <c r="D265" i="1"/>
  <c r="E275" i="1"/>
  <c r="E148" i="1"/>
  <c r="E298" i="1"/>
  <c r="E183" i="1"/>
  <c r="D179" i="1"/>
  <c r="D252" i="1"/>
  <c r="E264" i="1"/>
  <c r="E154" i="1"/>
  <c r="E16" i="1"/>
  <c r="E84" i="1"/>
  <c r="E204" i="1"/>
  <c r="E126" i="1"/>
  <c r="E173" i="1"/>
  <c r="E195" i="1"/>
  <c r="E306" i="1"/>
  <c r="E315" i="1"/>
  <c r="E63" i="1"/>
  <c r="E81" i="1"/>
  <c r="E90" i="1"/>
  <c r="D148" i="1"/>
  <c r="E229" i="1"/>
  <c r="E283" i="1"/>
  <c r="E244" i="1"/>
  <c r="D137" i="1"/>
  <c r="E163" i="1"/>
  <c r="E170" i="1"/>
  <c r="E214" i="1"/>
  <c r="E303" i="1"/>
  <c r="E311" i="1"/>
  <c r="D37" i="1"/>
  <c r="D151" i="1"/>
  <c r="E176" i="1"/>
  <c r="E208" i="1"/>
  <c r="D224" i="1"/>
  <c r="E77" i="1"/>
  <c r="E285" i="1"/>
  <c r="E20" i="1"/>
  <c r="E222" i="1"/>
  <c r="E276" i="1"/>
  <c r="D31" i="1"/>
  <c r="E47" i="1"/>
  <c r="C108" i="1"/>
  <c r="D139" i="1"/>
  <c r="D165" i="1"/>
  <c r="E179" i="1"/>
  <c r="E201" i="1"/>
  <c r="D263" i="1"/>
  <c r="D18" i="1"/>
  <c r="D107" i="1"/>
  <c r="E169" i="1"/>
  <c r="E17" i="1"/>
  <c r="E37" i="1"/>
  <c r="E119" i="1"/>
  <c r="E153" i="1"/>
  <c r="E184" i="1"/>
  <c r="E191" i="1"/>
  <c r="D12" i="1"/>
  <c r="E105" i="1"/>
  <c r="E142" i="1"/>
  <c r="D219" i="1"/>
  <c r="E255" i="1"/>
  <c r="D269" i="1"/>
  <c r="B129" i="1"/>
  <c r="B130" i="1" s="1"/>
  <c r="E141" i="1"/>
  <c r="E11" i="1"/>
  <c r="E59" i="1"/>
  <c r="D78" i="1"/>
  <c r="E128" i="1"/>
  <c r="E197" i="1"/>
  <c r="E211" i="1"/>
  <c r="E241" i="1"/>
  <c r="B319" i="1"/>
  <c r="C14" i="1"/>
  <c r="C22" i="1" s="1"/>
  <c r="E55" i="1"/>
  <c r="E80" i="1"/>
  <c r="E97" i="1"/>
  <c r="E162" i="1"/>
  <c r="D228" i="1"/>
  <c r="E234" i="1"/>
  <c r="E304" i="1"/>
  <c r="E312" i="1"/>
  <c r="C332" i="1"/>
  <c r="E332" i="1" s="1"/>
  <c r="B82" i="1"/>
  <c r="B83" i="1" s="1"/>
  <c r="E106" i="1"/>
  <c r="E138" i="1"/>
  <c r="E181" i="1"/>
  <c r="E242" i="1"/>
  <c r="D257" i="1"/>
  <c r="E110" i="1"/>
  <c r="B38" i="1"/>
  <c r="E42" i="1"/>
  <c r="D76" i="1"/>
  <c r="D182" i="1"/>
  <c r="E236" i="1"/>
  <c r="E292" i="1"/>
  <c r="E323" i="1"/>
  <c r="D109" i="1"/>
  <c r="D147" i="1"/>
  <c r="D253" i="1"/>
  <c r="D325" i="1"/>
  <c r="E12" i="1"/>
  <c r="D53" i="1"/>
  <c r="E58" i="1"/>
  <c r="D65" i="1"/>
  <c r="E151" i="1"/>
  <c r="D174" i="1"/>
  <c r="E193" i="1"/>
  <c r="D212" i="1"/>
  <c r="E268" i="1"/>
  <c r="B120" i="1"/>
  <c r="D194" i="1"/>
  <c r="E57" i="1"/>
  <c r="E114" i="1"/>
  <c r="D13" i="1"/>
  <c r="E19" i="1"/>
  <c r="D47" i="1"/>
  <c r="E85" i="1"/>
  <c r="E109" i="1"/>
  <c r="D140" i="1"/>
  <c r="D152" i="1"/>
  <c r="D164" i="1"/>
  <c r="D170" i="1"/>
  <c r="D214" i="1"/>
  <c r="E168" i="1"/>
  <c r="E233" i="1"/>
  <c r="E277" i="1"/>
  <c r="D119" i="1"/>
  <c r="D141" i="1"/>
  <c r="B259" i="1"/>
  <c r="D264" i="1"/>
  <c r="B316" i="1"/>
  <c r="D319" i="1"/>
  <c r="D40" i="1"/>
  <c r="D176" i="1"/>
  <c r="D190" i="1"/>
  <c r="C282" i="1"/>
  <c r="D299" i="1"/>
  <c r="D111" i="1"/>
  <c r="D136" i="1"/>
  <c r="B205" i="1"/>
  <c r="D210" i="1"/>
  <c r="D237" i="1"/>
  <c r="E27" i="1"/>
  <c r="D172" i="1"/>
  <c r="D258" i="1"/>
  <c r="B282" i="1"/>
  <c r="D21" i="1"/>
  <c r="B108" i="1"/>
  <c r="D149" i="1"/>
  <c r="D154" i="1"/>
  <c r="D197" i="1"/>
  <c r="D281" i="1"/>
  <c r="D42" i="1"/>
  <c r="D56" i="1"/>
  <c r="D232" i="1"/>
  <c r="D276" i="1"/>
  <c r="D17" i="1"/>
  <c r="D30" i="1"/>
  <c r="D150" i="1"/>
  <c r="D162" i="1"/>
  <c r="D192" i="1"/>
  <c r="B332" i="1"/>
  <c r="D331" i="1"/>
  <c r="D11" i="1"/>
  <c r="D92" i="1"/>
  <c r="E111" i="1"/>
  <c r="E209" i="1"/>
  <c r="D273" i="1"/>
  <c r="D330" i="1"/>
  <c r="D51" i="1"/>
  <c r="C226" i="1"/>
  <c r="E226" i="1" s="1"/>
  <c r="D256" i="1"/>
  <c r="D35" i="1"/>
  <c r="E40" i="1"/>
  <c r="E56" i="1"/>
  <c r="D63" i="1"/>
  <c r="E74" i="1"/>
  <c r="D100" i="1"/>
  <c r="E107" i="1"/>
  <c r="D134" i="1"/>
  <c r="E139" i="1"/>
  <c r="D160" i="1"/>
  <c r="D175" i="1"/>
  <c r="D193" i="1"/>
  <c r="D204" i="1"/>
  <c r="E210" i="1"/>
  <c r="D215" i="1"/>
  <c r="E232" i="1"/>
  <c r="E237" i="1"/>
  <c r="E243" i="1"/>
  <c r="E266" i="1"/>
  <c r="D279" i="1"/>
  <c r="D285" i="1"/>
  <c r="D298" i="1"/>
  <c r="E149" i="1"/>
  <c r="D159" i="1"/>
  <c r="D220" i="1"/>
  <c r="E231" i="1"/>
  <c r="D306" i="1"/>
  <c r="E92" i="1"/>
  <c r="E174" i="1"/>
  <c r="E192" i="1"/>
  <c r="B270" i="1"/>
  <c r="E273" i="1"/>
  <c r="E302" i="1"/>
  <c r="E313" i="1"/>
  <c r="D41" i="1"/>
  <c r="D135" i="1"/>
  <c r="D244" i="1"/>
  <c r="E262" i="1"/>
  <c r="C287" i="1"/>
  <c r="D287" i="1" s="1"/>
  <c r="D323" i="1"/>
  <c r="D114" i="1"/>
  <c r="D171" i="1"/>
  <c r="D304" i="1"/>
  <c r="E36" i="1"/>
  <c r="D233" i="1"/>
  <c r="D75" i="1"/>
  <c r="E48" i="1"/>
  <c r="E96" i="1"/>
  <c r="D310" i="1"/>
  <c r="D15" i="1"/>
  <c r="D25" i="1"/>
  <c r="D54" i="1"/>
  <c r="E76" i="1"/>
  <c r="D84" i="1"/>
  <c r="E122" i="1"/>
  <c r="E172" i="1"/>
  <c r="D218" i="1"/>
  <c r="D223" i="1"/>
  <c r="D234" i="1"/>
  <c r="D241" i="1"/>
  <c r="E253" i="1"/>
  <c r="E258" i="1"/>
  <c r="E281" i="1"/>
  <c r="B294" i="1"/>
  <c r="D57" i="1"/>
  <c r="E30" i="1"/>
  <c r="E53" i="1"/>
  <c r="B186" i="1"/>
  <c r="D10" i="1"/>
  <c r="C28" i="1"/>
  <c r="D59" i="1"/>
  <c r="E65" i="1"/>
  <c r="D77" i="1"/>
  <c r="B116" i="1"/>
  <c r="D142" i="1"/>
  <c r="E152" i="1"/>
  <c r="D158" i="1"/>
  <c r="D168" i="1"/>
  <c r="D183" i="1"/>
  <c r="C198" i="1"/>
  <c r="D195" i="1"/>
  <c r="E269" i="1"/>
  <c r="D277" i="1"/>
  <c r="E300" i="1"/>
  <c r="E325" i="1"/>
  <c r="D26" i="1"/>
  <c r="D50" i="1"/>
  <c r="D91" i="1"/>
  <c r="D110" i="1"/>
  <c r="C238" i="1"/>
  <c r="D301" i="1"/>
  <c r="E32" i="1"/>
  <c r="C52" i="1"/>
  <c r="E52" i="1" s="1"/>
  <c r="D85" i="1"/>
  <c r="D98" i="1"/>
  <c r="D138" i="1"/>
  <c r="D163" i="1"/>
  <c r="D169" i="1"/>
  <c r="D184" i="1"/>
  <c r="D196" i="1"/>
  <c r="D236" i="1"/>
  <c r="D242" i="1"/>
  <c r="E326" i="1"/>
  <c r="E20" i="14"/>
  <c r="E12" i="14"/>
  <c r="B20" i="14"/>
  <c r="D20" i="14" s="1"/>
  <c r="D8" i="14"/>
  <c r="C8" i="14"/>
  <c r="E8" i="14" s="1"/>
  <c r="D14" i="11"/>
  <c r="D9" i="11"/>
  <c r="D7" i="11"/>
  <c r="C14" i="11"/>
  <c r="E14" i="11" s="1"/>
  <c r="D16" i="10"/>
  <c r="D14" i="10"/>
  <c r="E7" i="10"/>
  <c r="D11" i="10"/>
  <c r="D7" i="10"/>
  <c r="D10" i="10"/>
  <c r="D9" i="10"/>
  <c r="D13" i="10"/>
  <c r="D8" i="9"/>
  <c r="E8" i="9"/>
  <c r="D16" i="9"/>
  <c r="C155" i="1"/>
  <c r="E145" i="1"/>
  <c r="E15" i="1"/>
  <c r="D19" i="1"/>
  <c r="E41" i="1"/>
  <c r="D73" i="1"/>
  <c r="B143" i="1"/>
  <c r="C143" i="1"/>
  <c r="B166" i="1"/>
  <c r="D157" i="1"/>
  <c r="E215" i="1"/>
  <c r="D254" i="1"/>
  <c r="D275" i="1"/>
  <c r="E213" i="1"/>
  <c r="D213" i="1"/>
  <c r="C216" i="1"/>
  <c r="E286" i="1"/>
  <c r="D286" i="1"/>
  <c r="D16" i="1"/>
  <c r="D32" i="1"/>
  <c r="B66" i="1"/>
  <c r="E73" i="1"/>
  <c r="E78" i="1"/>
  <c r="D89" i="1"/>
  <c r="C93" i="1"/>
  <c r="D123" i="1"/>
  <c r="C124" i="1"/>
  <c r="E124" i="1" s="1"/>
  <c r="D128" i="1"/>
  <c r="E134" i="1"/>
  <c r="C259" i="1"/>
  <c r="D303" i="1"/>
  <c r="E9" i="1"/>
  <c r="D9" i="1"/>
  <c r="D80" i="1"/>
  <c r="E46" i="1"/>
  <c r="C82" i="1"/>
  <c r="C129" i="1"/>
  <c r="E127" i="1"/>
  <c r="B60" i="1"/>
  <c r="C166" i="1"/>
  <c r="B14" i="1"/>
  <c r="D14" i="1" s="1"/>
  <c r="B28" i="1"/>
  <c r="D74" i="1"/>
  <c r="D118" i="1"/>
  <c r="E123" i="1"/>
  <c r="E158" i="1"/>
  <c r="C270" i="1"/>
  <c r="E261" i="1"/>
  <c r="C307" i="1"/>
  <c r="C316" i="1"/>
  <c r="E115" i="1"/>
  <c r="D115" i="1"/>
  <c r="E314" i="1"/>
  <c r="D314" i="1"/>
  <c r="C33" i="1"/>
  <c r="B93" i="1"/>
  <c r="B99" i="1"/>
  <c r="C120" i="1"/>
  <c r="E118" i="1"/>
  <c r="E251" i="1"/>
  <c r="D251" i="1"/>
  <c r="E75" i="1"/>
  <c r="D113" i="1"/>
  <c r="C116" i="1"/>
  <c r="E140" i="1"/>
  <c r="D145" i="1"/>
  <c r="E240" i="1"/>
  <c r="C246" i="1"/>
  <c r="D245" i="1"/>
  <c r="B246" i="1"/>
  <c r="D293" i="1"/>
  <c r="D300" i="1"/>
  <c r="E150" i="1"/>
  <c r="E185" i="1"/>
  <c r="D185" i="1"/>
  <c r="C186" i="1"/>
  <c r="E186" i="1" s="1"/>
  <c r="D240" i="1"/>
  <c r="E245" i="1"/>
  <c r="E164" i="1"/>
  <c r="E13" i="1"/>
  <c r="C38" i="1"/>
  <c r="D49" i="1"/>
  <c r="E54" i="1"/>
  <c r="E91" i="1"/>
  <c r="B216" i="1"/>
  <c r="E235" i="1"/>
  <c r="D235" i="1"/>
  <c r="E21" i="1"/>
  <c r="E203" i="1"/>
  <c r="D203" i="1"/>
  <c r="E136" i="1"/>
  <c r="E196" i="1"/>
  <c r="D58" i="1"/>
  <c r="E160" i="1"/>
  <c r="E175" i="1"/>
  <c r="E18" i="1"/>
  <c r="E31" i="1"/>
  <c r="D36" i="1"/>
  <c r="D46" i="1"/>
  <c r="E98" i="1"/>
  <c r="D105" i="1"/>
  <c r="D127" i="1"/>
  <c r="E137" i="1"/>
  <c r="E147" i="1"/>
  <c r="D161" i="1"/>
  <c r="B238" i="1"/>
  <c r="D268" i="1"/>
  <c r="E190" i="1"/>
  <c r="E200" i="1"/>
  <c r="E221" i="1"/>
  <c r="E225" i="1"/>
  <c r="D229" i="1"/>
  <c r="E267" i="1"/>
  <c r="E274" i="1"/>
  <c r="D292" i="1"/>
  <c r="E299" i="1"/>
  <c r="E309" i="1"/>
  <c r="E25" i="1"/>
  <c r="E35" i="1"/>
  <c r="D90" i="1"/>
  <c r="E157" i="1"/>
  <c r="D250" i="1"/>
  <c r="B324" i="1"/>
  <c r="D324" i="1" s="1"/>
  <c r="B33" i="1"/>
  <c r="B43" i="1"/>
  <c r="C66" i="1"/>
  <c r="B155" i="1"/>
  <c r="B177" i="1"/>
  <c r="B198" i="1"/>
  <c r="C205" i="1"/>
  <c r="B307" i="1"/>
  <c r="C43" i="1"/>
  <c r="C177" i="1"/>
  <c r="D88" i="1"/>
  <c r="D95" i="1"/>
  <c r="D122" i="1"/>
  <c r="D209" i="1"/>
  <c r="D231" i="1"/>
  <c r="D311" i="1"/>
  <c r="D81" i="1"/>
  <c r="D126" i="1"/>
  <c r="D262" i="1"/>
  <c r="D312" i="1"/>
  <c r="D309" i="1"/>
  <c r="B30" i="8"/>
  <c r="C21" i="8"/>
  <c r="E21" i="8" s="1"/>
  <c r="E25" i="8"/>
  <c r="C29" i="8"/>
  <c r="E29" i="8" s="1"/>
  <c r="D12" i="8"/>
  <c r="D16" i="8"/>
  <c r="D14" i="8"/>
  <c r="E7" i="8"/>
  <c r="D5" i="8"/>
  <c r="D4" i="8"/>
  <c r="D4" i="7"/>
  <c r="E15" i="7"/>
  <c r="E9" i="7"/>
  <c r="E7" i="7"/>
  <c r="B15" i="7"/>
  <c r="D15" i="7" s="1"/>
  <c r="D7" i="7"/>
  <c r="E10" i="7"/>
  <c r="D11" i="7"/>
  <c r="E12" i="6"/>
  <c r="E4" i="6"/>
  <c r="D13" i="6"/>
  <c r="C16" i="6"/>
  <c r="E8" i="6"/>
  <c r="E9" i="6"/>
  <c r="E13" i="6"/>
  <c r="D8" i="6"/>
  <c r="B16" i="6"/>
  <c r="D16" i="6" s="1"/>
  <c r="E5" i="5"/>
  <c r="C8" i="5"/>
  <c r="E8" i="5" s="1"/>
  <c r="B20" i="5"/>
  <c r="C20" i="5"/>
  <c r="E20" i="5" s="1"/>
  <c r="C21" i="4"/>
  <c r="E21" i="4" s="1"/>
  <c r="C8" i="4"/>
  <c r="E8" i="4" s="1"/>
  <c r="D5" i="4"/>
  <c r="E8" i="3"/>
  <c r="B8" i="3"/>
  <c r="D8" i="3" s="1"/>
  <c r="E20" i="3"/>
  <c r="C20" i="2"/>
  <c r="E20" i="2" s="1"/>
  <c r="B20" i="2"/>
  <c r="B8" i="2"/>
  <c r="D8" i="2" s="1"/>
  <c r="E5" i="2"/>
  <c r="D7" i="17"/>
  <c r="C19" i="16"/>
  <c r="B19" i="16"/>
  <c r="C6" i="16"/>
  <c r="B20" i="12"/>
  <c r="E8" i="12"/>
  <c r="D8" i="12"/>
  <c r="E4" i="3"/>
  <c r="D4" i="3"/>
  <c r="E4" i="2"/>
  <c r="D4" i="2"/>
  <c r="D6" i="16"/>
  <c r="B6" i="16"/>
  <c r="E99" i="1" l="1"/>
  <c r="D316" i="1"/>
  <c r="E108" i="1"/>
  <c r="D82" i="1"/>
  <c r="E205" i="1"/>
  <c r="E38" i="1"/>
  <c r="C117" i="1"/>
  <c r="E117" i="1" s="1"/>
  <c r="D282" i="1"/>
  <c r="D33" i="1"/>
  <c r="D108" i="1"/>
  <c r="E287" i="1"/>
  <c r="E316" i="1"/>
  <c r="E270" i="1"/>
  <c r="E82" i="1"/>
  <c r="E238" i="1"/>
  <c r="B271" i="1"/>
  <c r="D332" i="1"/>
  <c r="E28" i="1"/>
  <c r="E282" i="1"/>
  <c r="E120" i="1"/>
  <c r="C206" i="1"/>
  <c r="C60" i="1"/>
  <c r="E60" i="1" s="1"/>
  <c r="D270" i="1"/>
  <c r="D205" i="1"/>
  <c r="D43" i="1"/>
  <c r="E324" i="1"/>
  <c r="B117" i="1"/>
  <c r="E198" i="1"/>
  <c r="E216" i="1"/>
  <c r="E166" i="1"/>
  <c r="E14" i="1"/>
  <c r="B22" i="1"/>
  <c r="D22" i="1" s="1"/>
  <c r="D38" i="1"/>
  <c r="E246" i="1"/>
  <c r="E177" i="1"/>
  <c r="D52" i="1"/>
  <c r="C294" i="1"/>
  <c r="E294" i="1" s="1"/>
  <c r="D238" i="1"/>
  <c r="D226" i="1"/>
  <c r="D155" i="1"/>
  <c r="E43" i="1"/>
  <c r="E259" i="1"/>
  <c r="C271" i="1"/>
  <c r="B320" i="1"/>
  <c r="D307" i="1"/>
  <c r="B247" i="1"/>
  <c r="D166" i="1"/>
  <c r="E307" i="1"/>
  <c r="C320" i="1"/>
  <c r="B206" i="1"/>
  <c r="D198" i="1"/>
  <c r="D99" i="1"/>
  <c r="B101" i="1"/>
  <c r="B102" i="1" s="1"/>
  <c r="C130" i="1"/>
  <c r="E129" i="1"/>
  <c r="C178" i="1"/>
  <c r="E143" i="1"/>
  <c r="C44" i="1"/>
  <c r="D177" i="1"/>
  <c r="D93" i="1"/>
  <c r="D129" i="1"/>
  <c r="D186" i="1"/>
  <c r="D143" i="1"/>
  <c r="B178" i="1"/>
  <c r="D120" i="1"/>
  <c r="D216" i="1"/>
  <c r="E116" i="1"/>
  <c r="D116" i="1"/>
  <c r="E33" i="1"/>
  <c r="C83" i="1"/>
  <c r="D124" i="1"/>
  <c r="E155" i="1"/>
  <c r="E66" i="1"/>
  <c r="C67" i="1"/>
  <c r="C102" i="1"/>
  <c r="E93" i="1"/>
  <c r="B44" i="1"/>
  <c r="D28" i="1"/>
  <c r="D259" i="1"/>
  <c r="D246" i="1"/>
  <c r="B67" i="1"/>
  <c r="D66" i="1"/>
  <c r="C247" i="1"/>
  <c r="C30" i="8"/>
  <c r="E30" i="8" s="1"/>
  <c r="D21" i="8"/>
  <c r="D29" i="8"/>
  <c r="E16" i="6"/>
  <c r="D8" i="5"/>
  <c r="D20" i="5"/>
  <c r="D21" i="4"/>
  <c r="D8" i="4"/>
  <c r="D20" i="2"/>
  <c r="E8" i="2"/>
  <c r="C21" i="16"/>
  <c r="B21" i="16"/>
  <c r="D15" i="11"/>
  <c r="C20" i="12"/>
  <c r="E20" i="12" s="1"/>
  <c r="E22" i="12" s="1"/>
  <c r="E19" i="16"/>
  <c r="D19" i="16"/>
  <c r="D21" i="16" s="1"/>
  <c r="D117" i="1" l="1"/>
  <c r="D271" i="1"/>
  <c r="E271" i="1"/>
  <c r="E22" i="1"/>
  <c r="E67" i="1"/>
  <c r="E206" i="1"/>
  <c r="B68" i="1"/>
  <c r="B69" i="1" s="1"/>
  <c r="D60" i="1"/>
  <c r="D247" i="1"/>
  <c r="D320" i="1"/>
  <c r="D102" i="1"/>
  <c r="D294" i="1"/>
  <c r="E44" i="1"/>
  <c r="E83" i="1"/>
  <c r="E130" i="1"/>
  <c r="D130" i="1"/>
  <c r="C68" i="1"/>
  <c r="E247" i="1"/>
  <c r="E102" i="1"/>
  <c r="D178" i="1"/>
  <c r="D101" i="1"/>
  <c r="E101" i="1"/>
  <c r="C295" i="1"/>
  <c r="C321" i="1" s="1"/>
  <c r="C327" i="1" s="1"/>
  <c r="D67" i="1"/>
  <c r="D83" i="1"/>
  <c r="E178" i="1"/>
  <c r="B295" i="1"/>
  <c r="B321" i="1" s="1"/>
  <c r="D206" i="1"/>
  <c r="D44" i="1"/>
  <c r="E320" i="1"/>
  <c r="D30" i="8"/>
  <c r="D20" i="12"/>
  <c r="B6" i="15"/>
  <c r="D6" i="15"/>
  <c r="C16" i="15"/>
  <c r="E16" i="15" s="1"/>
  <c r="E15" i="15"/>
  <c r="E14" i="15"/>
  <c r="E13" i="15"/>
  <c r="E12" i="15"/>
  <c r="E11" i="15"/>
  <c r="E10" i="15"/>
  <c r="E9" i="15"/>
  <c r="E8" i="15"/>
  <c r="C23" i="13"/>
  <c r="C21" i="13"/>
  <c r="E21" i="13" s="1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5" i="15"/>
  <c r="E4" i="15"/>
  <c r="B6" i="12"/>
  <c r="B22" i="12" s="1"/>
  <c r="C6" i="12"/>
  <c r="C22" i="12" s="1"/>
  <c r="D6" i="12"/>
  <c r="B6" i="13"/>
  <c r="E5" i="13"/>
  <c r="D6" i="13"/>
  <c r="E4" i="13"/>
  <c r="D8" i="8"/>
  <c r="C8" i="8"/>
  <c r="C33" i="8" s="1"/>
  <c r="B33" i="8"/>
  <c r="C17" i="7"/>
  <c r="D17" i="7"/>
  <c r="B17" i="7"/>
  <c r="C22" i="5"/>
  <c r="D22" i="5"/>
  <c r="C23" i="4"/>
  <c r="D23" i="4"/>
  <c r="B22" i="5"/>
  <c r="B23" i="4"/>
  <c r="D295" i="1" l="1"/>
  <c r="D321" i="1"/>
  <c r="B327" i="1"/>
  <c r="D327" i="1" s="1"/>
  <c r="C69" i="1"/>
  <c r="E68" i="1"/>
  <c r="E321" i="1"/>
  <c r="E295" i="1"/>
  <c r="D69" i="1"/>
  <c r="D68" i="1"/>
  <c r="D33" i="8"/>
  <c r="D22" i="12"/>
  <c r="C18" i="15"/>
  <c r="B18" i="15"/>
  <c r="B16" i="15"/>
  <c r="D16" i="15" s="1"/>
  <c r="D18" i="15" s="1"/>
  <c r="B21" i="13"/>
  <c r="D21" i="13" s="1"/>
  <c r="D23" i="13" s="1"/>
  <c r="B328" i="1" l="1"/>
  <c r="B333" i="1" s="1"/>
  <c r="E327" i="1"/>
  <c r="C328" i="1"/>
  <c r="E69" i="1"/>
  <c r="B23" i="13"/>
  <c r="C333" i="1" l="1"/>
  <c r="E333" i="1" s="1"/>
  <c r="E328" i="1"/>
  <c r="D328" i="1"/>
  <c r="D333" i="1" l="1"/>
</calcChain>
</file>

<file path=xl/sharedStrings.xml><?xml version="1.0" encoding="utf-8"?>
<sst xmlns="http://schemas.openxmlformats.org/spreadsheetml/2006/main" count="751" uniqueCount="451">
  <si>
    <t>Indiana State Wrestling Assn Inc</t>
  </si>
  <si>
    <t>September 2022 - August 2023</t>
  </si>
  <si>
    <t>Total</t>
  </si>
  <si>
    <t>Actual</t>
  </si>
  <si>
    <t>Budget</t>
  </si>
  <si>
    <t>over Budget</t>
  </si>
  <si>
    <t>% of Budget</t>
  </si>
  <si>
    <t>Revenue</t>
  </si>
  <si>
    <t xml:space="preserve">   Income</t>
  </si>
  <si>
    <t xml:space="preserve">      Athlete Traditional Membership</t>
  </si>
  <si>
    <t xml:space="preserve">      Club Charters, Sanctions &amp; Insurance</t>
  </si>
  <si>
    <t xml:space="preserve">      Donations/Sponsors</t>
  </si>
  <si>
    <t xml:space="preserve">         Restricted Funds Donations</t>
  </si>
  <si>
    <t xml:space="preserve">      Total Donations/Sponsors</t>
  </si>
  <si>
    <t xml:space="preserve">      Equipment Sales</t>
  </si>
  <si>
    <t xml:space="preserve">      Interest</t>
  </si>
  <si>
    <t xml:space="preserve">      SiteSearch</t>
  </si>
  <si>
    <t xml:space="preserve">      T Shirt Sponsorship</t>
  </si>
  <si>
    <t xml:space="preserve">      USAW Hard Card</t>
  </si>
  <si>
    <t xml:space="preserve">      Win Magazine Income</t>
  </si>
  <si>
    <t xml:space="preserve">      Wrestling Leader 1 Year Membership</t>
  </si>
  <si>
    <t xml:space="preserve">   Total Income</t>
  </si>
  <si>
    <t xml:space="preserve">   ISWA State Tournaments</t>
  </si>
  <si>
    <t xml:space="preserve">      Elementary Dual Team State</t>
  </si>
  <si>
    <t xml:space="preserve">         Elementary Dual Team State-Gate Fees</t>
  </si>
  <si>
    <t xml:space="preserve">         Elementary Dual Team State-Streaming Proceeds</t>
  </si>
  <si>
    <t xml:space="preserve">         Elementary Dual Team State-Team Fees</t>
  </si>
  <si>
    <t xml:space="preserve">      Total Elementary Dual Team State</t>
  </si>
  <si>
    <t xml:space="preserve">      Freestyle/Greco State</t>
  </si>
  <si>
    <t xml:space="preserve">         ISWA Freestyle Greco State Gate Fees</t>
  </si>
  <si>
    <t xml:space="preserve">         ISWA Freestyle Greco State Registration</t>
  </si>
  <si>
    <t xml:space="preserve">         ISWA Freestyle Greco Streaming Proceeds</t>
  </si>
  <si>
    <t xml:space="preserve">      Total Freestyle/Greco State</t>
  </si>
  <si>
    <t xml:space="preserve">         ISWA Folkstyle State Gate Fees</t>
  </si>
  <si>
    <t xml:space="preserve">         ISWA Folkstyle State Registration</t>
  </si>
  <si>
    <t xml:space="preserve">         ISWA Folkstyle State-Streaming Proceeds</t>
  </si>
  <si>
    <t xml:space="preserve">      Middle School Dual Team State</t>
  </si>
  <si>
    <t xml:space="preserve">         Middle School Dual Team State-Gate Fees</t>
  </si>
  <si>
    <t xml:space="preserve">         Middle School Dual Team State-Streaming Proceeds</t>
  </si>
  <si>
    <t xml:space="preserve">         Middle School Dual Team State-Team Fees</t>
  </si>
  <si>
    <t xml:space="preserve">      Total Middle School Dual Team State</t>
  </si>
  <si>
    <t xml:space="preserve">   Total ISWA State Tournaments</t>
  </si>
  <si>
    <t xml:space="preserve">   Team Indiana Income</t>
  </si>
  <si>
    <t xml:space="preserve">      14U Boys Dual Team Indiana Income</t>
  </si>
  <si>
    <t xml:space="preserve">      14U Girls Dual Team Indiana Income</t>
  </si>
  <si>
    <t xml:space="preserve">      Cadet Nationals Income (Fargo)-Men</t>
  </si>
  <si>
    <t xml:space="preserve">      Cultural Exchange Income</t>
  </si>
  <si>
    <t xml:space="preserve">      Heartland Elem/MS Duals-Boys</t>
  </si>
  <si>
    <t xml:space="preserve">         Heartland Elem/MS Dual Wrestle Off Fee</t>
  </si>
  <si>
    <t xml:space="preserve">      Total Heartland Elem/MS Duals-Boys</t>
  </si>
  <si>
    <t xml:space="preserve">      Heartland Elem/MS Duals-Girls</t>
  </si>
  <si>
    <t xml:space="preserve">      Junior Duals Income-Men</t>
  </si>
  <si>
    <t xml:space="preserve">      Junior Duals Income-Women</t>
  </si>
  <si>
    <t xml:space="preserve">      Kids FS/Greco Nationals Trip</t>
  </si>
  <si>
    <t xml:space="preserve">      Women's Folkstyle Nationals</t>
  </si>
  <si>
    <t xml:space="preserve">      Womens Nationals (Fargo)</t>
  </si>
  <si>
    <t xml:space="preserve">   Total Team Indiana Income</t>
  </si>
  <si>
    <t xml:space="preserve">   USAW Hosted Tournaments</t>
  </si>
  <si>
    <t xml:space="preserve">      14U Duals Gate Proceeds</t>
  </si>
  <si>
    <t xml:space="preserve">      14U Duals Team Entry Income</t>
  </si>
  <si>
    <t xml:space="preserve">      Central Regionals Income</t>
  </si>
  <si>
    <t xml:space="preserve">         Central Regionals Athlete Registration</t>
  </si>
  <si>
    <t xml:space="preserve">         Central Regionals Coaches Bands</t>
  </si>
  <si>
    <t xml:space="preserve">         Central Regionals Gate Proceeds</t>
  </si>
  <si>
    <t xml:space="preserve">      Total Central Regionals Income</t>
  </si>
  <si>
    <t xml:space="preserve">   Total USAW Hosted Tournaments</t>
  </si>
  <si>
    <t>Total Revenue</t>
  </si>
  <si>
    <t>Gross Profit</t>
  </si>
  <si>
    <t>Expenditures</t>
  </si>
  <si>
    <t xml:space="preserve">   Administration</t>
  </si>
  <si>
    <t xml:space="preserve">      Accounting</t>
  </si>
  <si>
    <t xml:space="preserve">         Accounting Fees</t>
  </si>
  <si>
    <t xml:space="preserve">      Total Accounting</t>
  </si>
  <si>
    <t xml:space="preserve">      Board Members-Background Checks/Memberships</t>
  </si>
  <si>
    <t xml:space="preserve">      Insurance</t>
  </si>
  <si>
    <t xml:space="preserve">      Payroll Expenditures</t>
  </si>
  <si>
    <t xml:space="preserve">      Postage</t>
  </si>
  <si>
    <t xml:space="preserve">      Publication</t>
  </si>
  <si>
    <t xml:space="preserve">         Bulk Rate Postage</t>
  </si>
  <si>
    <t xml:space="preserve">         Printing and Reproduction</t>
  </si>
  <si>
    <t xml:space="preserve">      Total Publication</t>
  </si>
  <si>
    <t xml:space="preserve">   Total Administration</t>
  </si>
  <si>
    <t xml:space="preserve">   Charitable Contributions</t>
  </si>
  <si>
    <t xml:space="preserve">   IHSWCA Banquet</t>
  </si>
  <si>
    <t xml:space="preserve">   Mat Officials</t>
  </si>
  <si>
    <t xml:space="preserve">      Folkstyle</t>
  </si>
  <si>
    <t xml:space="preserve">         Equipment &amp; Gear</t>
  </si>
  <si>
    <t xml:space="preserve">         Event Link</t>
  </si>
  <si>
    <t xml:space="preserve">         License &amp; Background Check</t>
  </si>
  <si>
    <t xml:space="preserve">         Nationals Hotel Expenses</t>
  </si>
  <si>
    <t xml:space="preserve">         Nationals Per Diem</t>
  </si>
  <si>
    <t xml:space="preserve">      Total Folkstyle</t>
  </si>
  <si>
    <t xml:space="preserve">      Freestyle/Greco</t>
  </si>
  <si>
    <t xml:space="preserve">         Equipment/Gear</t>
  </si>
  <si>
    <t xml:space="preserve">            USAW License</t>
  </si>
  <si>
    <t xml:space="preserve">            UWW License</t>
  </si>
  <si>
    <t xml:space="preserve">         Total License</t>
  </si>
  <si>
    <t xml:space="preserve">      Total Freestyle/Greco</t>
  </si>
  <si>
    <t xml:space="preserve">   Total Mat Officials</t>
  </si>
  <si>
    <t xml:space="preserve">   Meetings</t>
  </si>
  <si>
    <t xml:space="preserve">      Annual Meeting</t>
  </si>
  <si>
    <t xml:space="preserve">         Annual Awards</t>
  </si>
  <si>
    <t xml:space="preserve">         Annual Meeting Supplies</t>
  </si>
  <si>
    <t xml:space="preserve">         Annual Meeting-Hospitality</t>
  </si>
  <si>
    <t xml:space="preserve">      Total Annual Meeting</t>
  </si>
  <si>
    <t xml:space="preserve">      Budget Meeting</t>
  </si>
  <si>
    <t xml:space="preserve">      Meeting Mileage Reimbursement</t>
  </si>
  <si>
    <t xml:space="preserve">      Monthly Board Meeting Expenses</t>
  </si>
  <si>
    <t xml:space="preserve">      State Summit Meeting</t>
  </si>
  <si>
    <t xml:space="preserve">         State Summit Meeting Hotels</t>
  </si>
  <si>
    <t xml:space="preserve">         State Summit Travel</t>
  </si>
  <si>
    <t xml:space="preserve">         State Summit Travel Meals</t>
  </si>
  <si>
    <t xml:space="preserve">      Total State Summit Meeting</t>
  </si>
  <si>
    <t xml:space="preserve">   Total Meetings</t>
  </si>
  <si>
    <t xml:space="preserve">   Office Supplies &amp; Software</t>
  </si>
  <si>
    <t xml:space="preserve">      IT Equipment</t>
  </si>
  <si>
    <t xml:space="preserve">   Total Office Supplies &amp; Software</t>
  </si>
  <si>
    <t xml:space="preserve">   Pairing Officials</t>
  </si>
  <si>
    <t xml:space="preserve">      Pairing Officials Gear</t>
  </si>
  <si>
    <t xml:space="preserve">      Training</t>
  </si>
  <si>
    <t xml:space="preserve">   Total Pairing Officials</t>
  </si>
  <si>
    <t xml:space="preserve">   Payroll Expenses</t>
  </si>
  <si>
    <t xml:space="preserve">      Taxes</t>
  </si>
  <si>
    <t xml:space="preserve">      Wages</t>
  </si>
  <si>
    <t xml:space="preserve">         JD Minch Mileage Reimbursement</t>
  </si>
  <si>
    <t xml:space="preserve">      Total Wages</t>
  </si>
  <si>
    <t xml:space="preserve">   Total Payroll Expenses</t>
  </si>
  <si>
    <t xml:space="preserve">   Programs</t>
  </si>
  <si>
    <t xml:space="preserve">      ISWA Tournaments</t>
  </si>
  <si>
    <t xml:space="preserve">         ISWA Elementary Dual Team State</t>
  </si>
  <si>
    <t xml:space="preserve">            Awards-ISWA Elementary Dual Team State</t>
  </si>
  <si>
    <t xml:space="preserve">            Hospitality-ISWA Elementary Dual Team State</t>
  </si>
  <si>
    <t xml:space="preserve">            Hotels-ISWA Elementary Dual Team State</t>
  </si>
  <si>
    <t xml:space="preserve">            Mat Officials-ISWA Elementary Dual Team State</t>
  </si>
  <si>
    <t xml:space="preserve">            Mats-ISWA Elementary Dual Team State</t>
  </si>
  <si>
    <t xml:space="preserve">            Security-ISWA Elementary Dual Team State</t>
  </si>
  <si>
    <t xml:space="preserve">            Supplies-Elem Team State</t>
  </si>
  <si>
    <t xml:space="preserve">            Trainers-ISWA Elementary Dual Team State</t>
  </si>
  <si>
    <t xml:space="preserve">            Wrestler Payout-ISWA Elementary Dual Team State</t>
  </si>
  <si>
    <t xml:space="preserve">         Total ISWA Elementary Dual Team State</t>
  </si>
  <si>
    <t xml:space="preserve">         ISWA Folkstyle State</t>
  </si>
  <si>
    <t xml:space="preserve">            Awards-ISWA Folkstyle State</t>
  </si>
  <si>
    <t xml:space="preserve">            Facility Charge-ISWA Folkstyle State</t>
  </si>
  <si>
    <t xml:space="preserve">            Hospitality-ISWA Folkstyle State</t>
  </si>
  <si>
    <t xml:space="preserve">            Hotels-ISWA Folkstyle State</t>
  </si>
  <si>
    <t xml:space="preserve">            Mat Officials-ISWA Folkstyle State</t>
  </si>
  <si>
    <t xml:space="preserve">            Mats-ISWA Folkstyle State</t>
  </si>
  <si>
    <t xml:space="preserve">            Security-ISWA Folkstyle State</t>
  </si>
  <si>
    <t xml:space="preserve">            Supplies-ISWA Folkstyle State</t>
  </si>
  <si>
    <t xml:space="preserve">            Trainers-ISWA Folkstyle State</t>
  </si>
  <si>
    <t xml:space="preserve">            Wrestler Payout-ISWA Folkstyle State</t>
  </si>
  <si>
    <t xml:space="preserve">         Total ISWA Folkstyle State</t>
  </si>
  <si>
    <t xml:space="preserve">         ISWA Freestyle/Greco</t>
  </si>
  <si>
    <t xml:space="preserve">            Awards-ISWA Freestyle/Greco State</t>
  </si>
  <si>
    <t xml:space="preserve">            Hospitality-ISWA Freestyle/Greco State</t>
  </si>
  <si>
    <t xml:space="preserve">            Hotels-ISWA Freestyle/Greco State</t>
  </si>
  <si>
    <t xml:space="preserve">            Mat Fee-ISWA Freestyle/Greco State</t>
  </si>
  <si>
    <t xml:space="preserve">            Mat Officials-ISWA Freestyle/Greco State</t>
  </si>
  <si>
    <t xml:space="preserve">            Security-ISWA Freestyle/Greco State</t>
  </si>
  <si>
    <t xml:space="preserve">            Supplies-ISWA Freestyle/Greco State</t>
  </si>
  <si>
    <t xml:space="preserve">            Trainers-ISWA Freestyle/Greco State</t>
  </si>
  <si>
    <t xml:space="preserve">            Wrestler Payout-ISWA Freestyle/Greco State</t>
  </si>
  <si>
    <t xml:space="preserve">         Total ISWA Freestyle/Greco</t>
  </si>
  <si>
    <t xml:space="preserve">         Middle School Dual Team State</t>
  </si>
  <si>
    <t xml:space="preserve">            Awards- Middle School Dual Team State</t>
  </si>
  <si>
    <t xml:space="preserve">            Hospitality-Middle School Dual Team State</t>
  </si>
  <si>
    <t xml:space="preserve">            Hotels-Middle School Dual Team State</t>
  </si>
  <si>
    <t xml:space="preserve">            Mat Fee-Middle School Dual Team State</t>
  </si>
  <si>
    <t xml:space="preserve">            Mat Officials-Middle School Dual Team State</t>
  </si>
  <si>
    <t xml:space="preserve">            Security-Middle School Dual Team State</t>
  </si>
  <si>
    <t xml:space="preserve">            Supplies-Middle School Dual Team State</t>
  </si>
  <si>
    <t xml:space="preserve">            Trainers-Middle School Dual Team State</t>
  </si>
  <si>
    <t xml:space="preserve">            Wrestler Payout-Middle School Dual Team State</t>
  </si>
  <si>
    <t xml:space="preserve">         Total Middle School Dual Team State</t>
  </si>
  <si>
    <t xml:space="preserve">      Total ISWA Tournaments</t>
  </si>
  <si>
    <t xml:space="preserve">      Scholarships</t>
  </si>
  <si>
    <t xml:space="preserve">      State Coach Director</t>
  </si>
  <si>
    <t xml:space="preserve">         Coach Development-Travel Expenses</t>
  </si>
  <si>
    <t xml:space="preserve">         Coach Development-USAW Training</t>
  </si>
  <si>
    <t xml:space="preserve">         ISWA Open Camps</t>
  </si>
  <si>
    <t xml:space="preserve">         Olympic Styles Director</t>
  </si>
  <si>
    <t xml:space="preserve">         RTC</t>
  </si>
  <si>
    <t xml:space="preserve">      Total State Coach Director</t>
  </si>
  <si>
    <t xml:space="preserve">      Team Indiana Expenses</t>
  </si>
  <si>
    <t xml:space="preserve">         14U National Dual Teams</t>
  </si>
  <si>
    <t xml:space="preserve">            14U Duals Boys</t>
  </si>
  <si>
    <t xml:space="preserve">               14U Duals Boys-Camp</t>
  </si>
  <si>
    <t xml:space="preserve">               14U Duals Boys-Gear</t>
  </si>
  <si>
    <t xml:space="preserve">               14U Duals Boys-Other Expenses</t>
  </si>
  <si>
    <t xml:space="preserve">            Total 14U Duals Boys</t>
  </si>
  <si>
    <t xml:space="preserve">            14U Duals Girls</t>
  </si>
  <si>
    <t xml:space="preserve">               14U Duals Girls-Coaches Per Diem</t>
  </si>
  <si>
    <t xml:space="preserve">               14U Duals Girls-Gear</t>
  </si>
  <si>
    <t xml:space="preserve">               14U Duals Girls-Marketing</t>
  </si>
  <si>
    <t xml:space="preserve">               14U Duals Girls-Mat Officials</t>
  </si>
  <si>
    <t xml:space="preserve">               14U Duals Girls-Team Registration</t>
  </si>
  <si>
    <t xml:space="preserve">            Total 14U Duals Girls</t>
  </si>
  <si>
    <t xml:space="preserve">         Total 14U National Dual Teams</t>
  </si>
  <si>
    <t xml:space="preserve">         16U Dual Team Indiana</t>
  </si>
  <si>
    <t xml:space="preserve">            16U Duals Camp</t>
  </si>
  <si>
    <t xml:space="preserve">            16U Duals Gear</t>
  </si>
  <si>
    <t xml:space="preserve">            16U Duals Hotels</t>
  </si>
  <si>
    <t xml:space="preserve">            16U Duals Officials Expenses</t>
  </si>
  <si>
    <t xml:space="preserve">            16U Duals Other Expenses</t>
  </si>
  <si>
    <t xml:space="preserve">            16U Duals Registration</t>
  </si>
  <si>
    <t xml:space="preserve">            16U Duals Transportation</t>
  </si>
  <si>
    <t xml:space="preserve">            16U Duals-Coaches Per Diem</t>
  </si>
  <si>
    <t xml:space="preserve">         Total 16U Dual Team Indiana</t>
  </si>
  <si>
    <t xml:space="preserve">         Cultural Exchange Trip</t>
  </si>
  <si>
    <t xml:space="preserve">            Cultural Exchange Host Gifts</t>
  </si>
  <si>
    <t xml:space="preserve">            Cultural Exchange-Activities</t>
  </si>
  <si>
    <t xml:space="preserve">            Cultural Exchange-Food</t>
  </si>
  <si>
    <t xml:space="preserve">            Cultural Exchange-Gear</t>
  </si>
  <si>
    <t xml:space="preserve">            Cultural Exchange-Hotel</t>
  </si>
  <si>
    <t xml:space="preserve">            Cultural Exchange-Misc Expenses</t>
  </si>
  <si>
    <t xml:space="preserve">            Cultural Exchange-Rental Car</t>
  </si>
  <si>
    <t xml:space="preserve">            Cultural Exchange-Travel</t>
  </si>
  <si>
    <t xml:space="preserve">         Total Cultural Exchange Trip</t>
  </si>
  <si>
    <t xml:space="preserve">         Heartland Elem/MS Duals</t>
  </si>
  <si>
    <t xml:space="preserve">            Heartland Duals Hospitality</t>
  </si>
  <si>
    <t xml:space="preserve">            Heartland Duals Wrestle Off Expenses</t>
  </si>
  <si>
    <t xml:space="preserve">            Heartland Elem/MS Duals-Boys</t>
  </si>
  <si>
    <t xml:space="preserve">               Heartland Duals Coaches Per Diem-Boys</t>
  </si>
  <si>
    <t xml:space="preserve">               Heartland Duals Expenses Officials-Boys</t>
  </si>
  <si>
    <t xml:space="preserve">               Heartland Duals Gear-Boys</t>
  </si>
  <si>
    <t xml:space="preserve">               Heartland Duals Lodging-Boys</t>
  </si>
  <si>
    <t xml:space="preserve">               Heartland Duals Marketing-Boys</t>
  </si>
  <si>
    <t xml:space="preserve">               Heartland Duals Team Registration Fee-Boys</t>
  </si>
  <si>
    <t xml:space="preserve">               Heartland Duals Transportation-Boys</t>
  </si>
  <si>
    <t xml:space="preserve">            Total Heartland Elem/MS Duals-Boys</t>
  </si>
  <si>
    <t xml:space="preserve">            Heartland Elem/MS Duals-Girls</t>
  </si>
  <si>
    <t xml:space="preserve">               Heartland Duals Coaches Per Diem-Girls</t>
  </si>
  <si>
    <t xml:space="preserve">               Heartland Duals Gear-Girls</t>
  </si>
  <si>
    <t xml:space="preserve">               Heartland Duals Lodging-Girls</t>
  </si>
  <si>
    <t xml:space="preserve">               Heartland Duals Marketing-Girls</t>
  </si>
  <si>
    <t xml:space="preserve">               Heartland Duals Team Registration Fee-Girls</t>
  </si>
  <si>
    <t xml:space="preserve">               Heartland Duals Transportation-Girls</t>
  </si>
  <si>
    <t xml:space="preserve">            Total Heartland Elem/MS Duals-Girls</t>
  </si>
  <si>
    <t xml:space="preserve">         Total Heartland Elem/MS Duals</t>
  </si>
  <si>
    <t xml:space="preserve">         Junior Duals</t>
  </si>
  <si>
    <t xml:space="preserve">            Junior Duals-Men</t>
  </si>
  <si>
    <t xml:space="preserve">               Junior Duals Men-Camp</t>
  </si>
  <si>
    <t xml:space="preserve">               Junior Duals Men-Coaches Per Diem</t>
  </si>
  <si>
    <t xml:space="preserve">               Junior Duals Men-Gear</t>
  </si>
  <si>
    <t xml:space="preserve">               Junior Duals Men-Hotels</t>
  </si>
  <si>
    <t xml:space="preserve">               Junior Duals Men-Marketing</t>
  </si>
  <si>
    <t xml:space="preserve">               Junior Duals Men-Officials Expenses</t>
  </si>
  <si>
    <t xml:space="preserve">               Junior Duals Men-Other Expenses</t>
  </si>
  <si>
    <t xml:space="preserve">               Junior Duals Men-Registration</t>
  </si>
  <si>
    <t xml:space="preserve">               Junior Duals Men-Transportation</t>
  </si>
  <si>
    <t xml:space="preserve">            Total Junior Duals-Men</t>
  </si>
  <si>
    <t xml:space="preserve">            Junior Duals-Women</t>
  </si>
  <si>
    <t xml:space="preserve">               Junior Duals Women-Camp</t>
  </si>
  <si>
    <t xml:space="preserve">               Junior Duals Women-Coaches Per Diem</t>
  </si>
  <si>
    <t xml:space="preserve">               Junior Duals Women-Gear</t>
  </si>
  <si>
    <t xml:space="preserve">               Junior Duals Women-Hotels</t>
  </si>
  <si>
    <t xml:space="preserve">               Junior Duals Women-Marketing</t>
  </si>
  <si>
    <t xml:space="preserve">               Junior Duals Women-Officials Expenses</t>
  </si>
  <si>
    <t xml:space="preserve">               Junior Duals Women-Other Expenses</t>
  </si>
  <si>
    <t xml:space="preserve">               Junior Duals Women-Registration</t>
  </si>
  <si>
    <t xml:space="preserve">               Junior Duals Women-Transportation</t>
  </si>
  <si>
    <t xml:space="preserve">            Total Junior Duals-Women</t>
  </si>
  <si>
    <t xml:space="preserve">         Total Junior Duals</t>
  </si>
  <si>
    <t xml:space="preserve">         Junior-Cadet Nationals (Fargo)-M/W</t>
  </si>
  <si>
    <t xml:space="preserve">            Junior-Cadet Nationals Camp</t>
  </si>
  <si>
    <t xml:space="preserve">            Junior-Cadet Nationals Extra Meals/Entertainment</t>
  </si>
  <si>
    <t xml:space="preserve">            Junior-Cadet Nationals Gear</t>
  </si>
  <si>
    <t xml:space="preserve">            Junior-Cadet Nationals Housing</t>
  </si>
  <si>
    <t xml:space="preserve">            Junior-Cadet Nationals Marketing(Photos and Recruiters Guide)</t>
  </si>
  <si>
    <t xml:space="preserve">            Junior-Cadet Nationals Other Supplies</t>
  </si>
  <si>
    <t xml:space="preserve">            Junior-Cadet Nationals Registration</t>
  </si>
  <si>
    <t xml:space="preserve">            Junior-Cadet Nationals Transportation</t>
  </si>
  <si>
    <t xml:space="preserve">         Total Junior-Cadet Nationals (Fargo)-M/W</t>
  </si>
  <si>
    <t xml:space="preserve">         Women's Nationals Team</t>
  </si>
  <si>
    <t xml:space="preserve">            Women's Folkstyle Nationals Camp</t>
  </si>
  <si>
    <t xml:space="preserve">            Womens Freestyle National Camp</t>
  </si>
  <si>
    <t xml:space="preserve">         Total Women's Nationals Team</t>
  </si>
  <si>
    <t xml:space="preserve">      Total Team Indiana Expenses</t>
  </si>
  <si>
    <t xml:space="preserve">      USA Tournament Expenses</t>
  </si>
  <si>
    <t xml:space="preserve">         14U National Duals</t>
  </si>
  <si>
    <t xml:space="preserve">            Awards-14U National Duals</t>
  </si>
  <si>
    <t xml:space="preserve">            Facility Charge-14U National Duals</t>
  </si>
  <si>
    <t xml:space="preserve">            Hospitality-14U National Duals</t>
  </si>
  <si>
    <t xml:space="preserve">            Hotels-14U National Duals</t>
  </si>
  <si>
    <t xml:space="preserve">            Mat Fee-14U National Duals</t>
  </si>
  <si>
    <t xml:space="preserve">            Mileage Reimbursement-14U National Duals</t>
  </si>
  <si>
    <t xml:space="preserve">            Security-14U National Duals</t>
  </si>
  <si>
    <t xml:space="preserve">            Supplies &amp; Materials-14U National Duals</t>
  </si>
  <si>
    <t xml:space="preserve">            Trainers-14U National Duals</t>
  </si>
  <si>
    <t xml:space="preserve">            USAW Payment-14U National Duals</t>
  </si>
  <si>
    <t xml:space="preserve">            Wrestler Payout-14U National Duals</t>
  </si>
  <si>
    <t xml:space="preserve">         Total 14U National Duals</t>
  </si>
  <si>
    <t xml:space="preserve">         Central Regionals</t>
  </si>
  <si>
    <t xml:space="preserve">            Central Regionals-Facility Charge</t>
  </si>
  <si>
    <t xml:space="preserve">            Central Regionals-Hospitality</t>
  </si>
  <si>
    <t xml:space="preserve">            Central Regionals-Hotels</t>
  </si>
  <si>
    <t xml:space="preserve">            Central Regionals-Mat Fees</t>
  </si>
  <si>
    <t xml:space="preserve">            Central Regionals-Security</t>
  </si>
  <si>
    <t xml:space="preserve">            Central Regionals-Stipend Payment</t>
  </si>
  <si>
    <t xml:space="preserve">            Central Regionals-Supplies</t>
  </si>
  <si>
    <t xml:space="preserve">            Central Regionals-Table Help</t>
  </si>
  <si>
    <t xml:space="preserve">            Central Regionals-Trainer</t>
  </si>
  <si>
    <t xml:space="preserve">         Total Central Regionals</t>
  </si>
  <si>
    <t xml:space="preserve">            Kids FS/Greco Nat'l-Coaches Per Diem</t>
  </si>
  <si>
    <t xml:space="preserve">            Kids FS/Greco Nat'l-Food Expenses</t>
  </si>
  <si>
    <t xml:space="preserve">            Kids FS/Greco Nat'l-Gear</t>
  </si>
  <si>
    <t xml:space="preserve">            Kids FS/Greco Nat'l-Hotel</t>
  </si>
  <si>
    <t xml:space="preserve">            Kids FS/Greco Nat'l-Officials Expenses</t>
  </si>
  <si>
    <t xml:space="preserve">            Kids FS/Greco Nat'l-Other Expenses</t>
  </si>
  <si>
    <t xml:space="preserve">            Kids FS/Greco Nat'l-Transportation</t>
  </si>
  <si>
    <t xml:space="preserve">      Total USA Tournament Expenses</t>
  </si>
  <si>
    <t xml:space="preserve">   Total Programs</t>
  </si>
  <si>
    <t xml:space="preserve">   Registration</t>
  </si>
  <si>
    <t xml:space="preserve">      Club Charters/Sanctions/Insurance</t>
  </si>
  <si>
    <t xml:space="preserve">   Total Registration</t>
  </si>
  <si>
    <t xml:space="preserve">   Rent &amp; Lease</t>
  </si>
  <si>
    <t xml:space="preserve">   Utilities</t>
  </si>
  <si>
    <t>Total Expenditures</t>
  </si>
  <si>
    <t>Net Operating Revenue</t>
  </si>
  <si>
    <t>Net Revenue</t>
  </si>
  <si>
    <t>16U Duals</t>
  </si>
  <si>
    <t>Junior Duals</t>
  </si>
  <si>
    <t xml:space="preserve">Women's Jr Duals </t>
  </si>
  <si>
    <t>14U Duals-Girls (See Jr Duals)</t>
  </si>
  <si>
    <t>C/J - Men &amp; Wm Fargo</t>
  </si>
  <si>
    <t>Womens Fargo Cadet/Jrs.</t>
  </si>
  <si>
    <t>Heartland Elem/MS Duals</t>
  </si>
  <si>
    <t>Heartland Girls</t>
  </si>
  <si>
    <t>14U Duals-Boys</t>
  </si>
  <si>
    <t>Kids FS/Greco Nat'ls</t>
  </si>
  <si>
    <t>Number of wrestlers</t>
  </si>
  <si>
    <t>Wrestlers per room</t>
  </si>
  <si>
    <t># Coaches/Leaders</t>
  </si>
  <si>
    <t>Coaches per room</t>
  </si>
  <si>
    <t>Officials</t>
  </si>
  <si>
    <t>Number of Nights</t>
  </si>
  <si>
    <t>Number of Days</t>
  </si>
  <si>
    <t>Coaches Meals/Day</t>
  </si>
  <si>
    <t>Coaches Per Diem Total</t>
  </si>
  <si>
    <t>Total Athlete $?/Coach $? Gear</t>
  </si>
  <si>
    <t>Bus driver room cost(Include in transp)</t>
  </si>
  <si>
    <t>Wrestler/Coach room cost</t>
  </si>
  <si>
    <t>Athlete &amp; Coach Housing Total</t>
  </si>
  <si>
    <t>Registration costs</t>
  </si>
  <si>
    <t>Transportation</t>
  </si>
  <si>
    <t>Other Expenses</t>
  </si>
  <si>
    <t>Camp $???/athlete</t>
  </si>
  <si>
    <t>With Wm Jr Duals</t>
  </si>
  <si>
    <t>Extra Meals/Supplies/Entertainment</t>
  </si>
  <si>
    <t>Pictures (included in marketing)</t>
  </si>
  <si>
    <t>Total Trip Expense</t>
  </si>
  <si>
    <t>Projected Trip cost/Wrestler</t>
  </si>
  <si>
    <t xml:space="preserve">Trip Price Charged:  </t>
  </si>
  <si>
    <t>Net Result/Wrestler</t>
  </si>
  <si>
    <t>Overall Result/Trip</t>
  </si>
  <si>
    <t>Income</t>
  </si>
  <si>
    <t>Expenses</t>
  </si>
  <si>
    <t>Net Result</t>
  </si>
  <si>
    <t>Total Income</t>
  </si>
  <si>
    <t>67 Boys @$300 each</t>
  </si>
  <si>
    <t>13 Girls @ $300 each</t>
  </si>
  <si>
    <t>18 @ $700 each</t>
  </si>
  <si>
    <t>104 Men 31 Women = 135 total</t>
  </si>
  <si>
    <t xml:space="preserve">            Junior-Cadet Nationals Officials Expenses &amp; Gear</t>
  </si>
  <si>
    <t xml:space="preserve">      16U Duals Gate Proceeds</t>
  </si>
  <si>
    <t xml:space="preserve">      16U Duals Team Entry</t>
  </si>
  <si>
    <t xml:space="preserve">         USAW 16U National Duals</t>
  </si>
  <si>
    <t xml:space="preserve">            USAW 16U-Awards</t>
  </si>
  <si>
    <t xml:space="preserve">            USAW 16U-Facility Fee</t>
  </si>
  <si>
    <t xml:space="preserve">            USAW 16U-Hospitality</t>
  </si>
  <si>
    <t xml:space="preserve">            USAW 16U-Hotels</t>
  </si>
  <si>
    <t xml:space="preserve">            USAW 16U-Mat Fee</t>
  </si>
  <si>
    <t xml:space="preserve">            USAW 16U-Mileage Reimbursement</t>
  </si>
  <si>
    <t xml:space="preserve">            USAW 16U-Security</t>
  </si>
  <si>
    <t xml:space="preserve">            USAW 16U-Supplies &amp; Materials</t>
  </si>
  <si>
    <t xml:space="preserve">            USAW 16U-Table Help</t>
  </si>
  <si>
    <t xml:space="preserve">            USAW 16U-Trainers</t>
  </si>
  <si>
    <t xml:space="preserve">            USAW 16U-USAW Payment</t>
  </si>
  <si>
    <t xml:space="preserve">            USAW 16U-Wrestler Payout</t>
  </si>
  <si>
    <t xml:space="preserve">         Total USAW 16U National Duals</t>
  </si>
  <si>
    <t xml:space="preserve">      USAW High School National Recruiting Showcase-Gate Fee</t>
  </si>
  <si>
    <t xml:space="preserve">      USAW High School National Recruiting Showcase-Registration</t>
  </si>
  <si>
    <t xml:space="preserve">         USAW High School National Recruiting Showcase</t>
  </si>
  <si>
    <t xml:space="preserve">            Facility Fee-USAW High School National Recruiting Showcase</t>
  </si>
  <si>
    <t xml:space="preserve">            Hospitality-USAW High School National Recruiting Showcase</t>
  </si>
  <si>
    <t xml:space="preserve">            Hotel-USAW High School National Recruiting Showcase</t>
  </si>
  <si>
    <t xml:space="preserve">            Mat officials-USAW High School National Recruiting Showcase</t>
  </si>
  <si>
    <t xml:space="preserve">            Security-USAW High School National Recruiting Showcase</t>
  </si>
  <si>
    <t xml:space="preserve">            Supplies-USAW High School National Recruiting Showcase</t>
  </si>
  <si>
    <t xml:space="preserve">            Trainers-USAW High School National Recruiting Showcase</t>
  </si>
  <si>
    <t xml:space="preserve">         Total USAW High School National Recruiting Showcase</t>
  </si>
  <si>
    <t>2023-2024</t>
  </si>
  <si>
    <t>Women's Folkstyle Nat'ls</t>
  </si>
  <si>
    <t>750/300/60</t>
  </si>
  <si>
    <t>Officials Stipend(250)Travel(200)</t>
  </si>
  <si>
    <t>25 Wrestlers 60/300/750</t>
  </si>
  <si>
    <t xml:space="preserve">            Total Women's Folkstyle Nationals (Sponsored Girls Team)</t>
  </si>
  <si>
    <t xml:space="preserve">22Teams </t>
  </si>
  <si>
    <t>15 Teams</t>
  </si>
  <si>
    <t xml:space="preserve">      Folkstyle State Finals</t>
  </si>
  <si>
    <t xml:space="preserve">      Total Folkstyle State Finals</t>
  </si>
  <si>
    <t>36 Athletes Appoximately $450 each ($150 gear credit for some)</t>
  </si>
  <si>
    <t xml:space="preserve">               14U Duals  Registration</t>
  </si>
  <si>
    <t xml:space="preserve">               14U Duals Boys-Hotel</t>
  </si>
  <si>
    <t xml:space="preserve">               14U Duals Officials Expenses</t>
  </si>
  <si>
    <t xml:space="preserve">               14U Duals Transportation</t>
  </si>
  <si>
    <t xml:space="preserve">               14U Duals-Coaches Per Diem</t>
  </si>
  <si>
    <t xml:space="preserve">      16U Duals Income</t>
  </si>
  <si>
    <t>19 athletes @ $700</t>
  </si>
  <si>
    <t xml:space="preserve">Budget vs. Actuals: 2022-2023 ISWA Budget - FY23 P&amp;L </t>
  </si>
  <si>
    <t xml:space="preserve">      Jr &amp; 16U Nationals Income (Fargo)-Men</t>
  </si>
  <si>
    <t xml:space="preserve">         Nationals Travel Assistance-FS/Greco</t>
  </si>
  <si>
    <t xml:space="preserve">         Junior-16U Nationals (Fargo)-M/W</t>
  </si>
  <si>
    <t xml:space="preserve">            Junior-16U Nationals Camp</t>
  </si>
  <si>
    <t xml:space="preserve">            Junior-16U Nationals Extra Meals/Entertainment</t>
  </si>
  <si>
    <t xml:space="preserve">            Junior-16U Nationals Gear</t>
  </si>
  <si>
    <t xml:space="preserve">            Junior-16U Nationals Housing</t>
  </si>
  <si>
    <t xml:space="preserve">            Junior-16U Nationals Marketing(Photos and Recruiters Guide)</t>
  </si>
  <si>
    <t xml:space="preserve">            Junior-16U Nationals Officials</t>
  </si>
  <si>
    <t xml:space="preserve">            Junior-16U Nationals Other Supplies</t>
  </si>
  <si>
    <t xml:space="preserve">            Junior-16U Nationals Registration</t>
  </si>
  <si>
    <t xml:space="preserve">            Junior-16U Nationals Transportation</t>
  </si>
  <si>
    <t xml:space="preserve">         Total Junior-16U Nationals (Fargo)-M/W</t>
  </si>
  <si>
    <t xml:space="preserve">         UWW Cadet &amp; U23 Officials Expenses (deleted)</t>
  </si>
  <si>
    <t xml:space="preserve">            Women's Folkstyle Nationals (Sponsored Girls Team)</t>
  </si>
  <si>
    <t xml:space="preserve">               Women's Folkstyle Nationals-Transportation</t>
  </si>
  <si>
    <t xml:space="preserve">         Kids FS/Greco Nationals Trip Expenses</t>
  </si>
  <si>
    <t xml:space="preserve">         Total Kids FS/Greco Nationals Trip Expenses</t>
  </si>
  <si>
    <t>Other Expenditures</t>
  </si>
  <si>
    <t xml:space="preserve">   Reconciliation Discrepancies</t>
  </si>
  <si>
    <t>Total Other Expenditures</t>
  </si>
  <si>
    <t>Net Other Revenue</t>
  </si>
  <si>
    <t>Saturday, Jul 08, 2023 09:13:27 AM GMT-7 - Accrual Basis</t>
  </si>
  <si>
    <t>17 Girls</t>
  </si>
  <si>
    <t>6 Wrestlers</t>
  </si>
  <si>
    <t>2024 Proposed</t>
  </si>
  <si>
    <t xml:space="preserve">    Gear Vendor Income</t>
  </si>
  <si>
    <t>*Many Late Entries in 2023</t>
  </si>
  <si>
    <t xml:space="preserve">         License Expenses</t>
  </si>
  <si>
    <t>5% increase for TT</t>
  </si>
  <si>
    <t>*Clarify with coaching staff</t>
  </si>
  <si>
    <t>*Combined Travel to events</t>
  </si>
  <si>
    <t xml:space="preserve">            Women's Folkstyle Nationals-Gear</t>
  </si>
  <si>
    <t xml:space="preserve">           Women's Folkstyle Nationals-Hotel</t>
  </si>
  <si>
    <t xml:space="preserve">           Women's Folkstyle Nationals-Registration</t>
  </si>
  <si>
    <t xml:space="preserve">           Women's Folkstyle Nationals-Transportation</t>
  </si>
  <si>
    <t>??</t>
  </si>
  <si>
    <t>*Increase of $1308.60 below</t>
  </si>
  <si>
    <t>*Coaches @ $10 ea</t>
  </si>
  <si>
    <t>*Book w/out sitesearch</t>
  </si>
  <si>
    <t>Est. Gear Total (15% over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</si>
</sst>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\ _€"/>
    <numFmt numFmtId="165" formatCode="&quot;$&quot;* #,##0.00\ _€"/>
    <numFmt numFmtId="166" formatCode="0.00_)"/>
    <numFmt numFmtId="167" formatCode="0_)"/>
    <numFmt numFmtId="168" formatCode="&quot;$&quot;#,##0.00"/>
  </numFmts>
  <fonts count="20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4"/>
      <color indexed="8"/>
      <name val="Arial"/>
    </font>
    <font>
      <b/>
      <sz val="9"/>
      <color indexed="8"/>
      <name val="Arial"/>
    </font>
    <font>
      <b/>
      <sz val="11"/>
      <color indexed="8"/>
      <name val="Calibri"/>
      <family val="2"/>
      <scheme val="minor"/>
    </font>
    <font>
      <b/>
      <sz val="8"/>
      <color indexed="8"/>
      <name val="Arial"/>
    </font>
    <font>
      <sz val="8"/>
      <color indexed="8"/>
      <name val="Arial"/>
    </font>
    <font>
      <b/>
      <sz val="12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7"/>
      <name val="Calibri"/>
      <family val="2"/>
      <scheme val="minor"/>
    </font>
    <font>
      <b/>
      <sz val="10"/>
      <color indexed="8"/>
      <name val="Arial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0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0" fontId="2" fillId="0" borderId="2" xfId="0" applyNumberFormat="1" applyFont="1" applyBorder="1" applyAlignment="1">
      <alignment horizontal="right" wrapText="1"/>
    </xf>
    <xf numFmtId="0" fontId="4" fillId="0" borderId="0" xfId="0" applyFont="1"/>
    <xf numFmtId="0" fontId="1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4" fontId="0" fillId="0" borderId="0" xfId="0" applyNumberForma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164" fontId="0" fillId="0" borderId="0" xfId="0" applyNumberFormat="1"/>
    <xf numFmtId="10" fontId="0" fillId="0" borderId="0" xfId="0" applyNumberFormat="1"/>
    <xf numFmtId="0" fontId="9" fillId="0" borderId="1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164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horizontal="right" wrapText="1"/>
    </xf>
    <xf numFmtId="10" fontId="12" fillId="0" borderId="0" xfId="0" applyNumberFormat="1" applyFont="1" applyAlignment="1">
      <alignment horizontal="right" wrapText="1"/>
    </xf>
    <xf numFmtId="165" fontId="11" fillId="0" borderId="2" xfId="0" applyNumberFormat="1" applyFont="1" applyBorder="1" applyAlignment="1">
      <alignment horizontal="right" wrapText="1"/>
    </xf>
    <xf numFmtId="10" fontId="11" fillId="0" borderId="2" xfId="0" applyNumberFormat="1" applyFont="1" applyBorder="1" applyAlignment="1">
      <alignment horizontal="right" wrapText="1"/>
    </xf>
    <xf numFmtId="0" fontId="13" fillId="0" borderId="3" xfId="0" applyFont="1" applyBorder="1" applyAlignment="1">
      <alignment horizontal="center" vertical="center" wrapText="1"/>
    </xf>
    <xf numFmtId="166" fontId="14" fillId="0" borderId="3" xfId="0" applyNumberFormat="1" applyFont="1" applyBorder="1" applyAlignment="1">
      <alignment horizontal="center" wrapText="1"/>
    </xf>
    <xf numFmtId="166" fontId="14" fillId="0" borderId="3" xfId="0" applyNumberFormat="1" applyFont="1" applyBorder="1" applyAlignment="1">
      <alignment horizontal="center" vertical="center" wrapText="1"/>
    </xf>
    <xf numFmtId="166" fontId="15" fillId="0" borderId="3" xfId="0" applyNumberFormat="1" applyFont="1" applyBorder="1" applyAlignment="1" applyProtection="1">
      <alignment wrapText="1"/>
      <protection locked="0"/>
    </xf>
    <xf numFmtId="167" fontId="15" fillId="0" borderId="3" xfId="0" applyNumberFormat="1" applyFont="1" applyBorder="1" applyAlignment="1" applyProtection="1">
      <alignment horizontal="right" vertical="center"/>
      <protection locked="0"/>
    </xf>
    <xf numFmtId="44" fontId="15" fillId="0" borderId="3" xfId="1" applyFont="1" applyFill="1" applyBorder="1" applyAlignment="1" applyProtection="1">
      <alignment horizontal="right" vertical="center"/>
      <protection locked="0"/>
    </xf>
    <xf numFmtId="44" fontId="15" fillId="0" borderId="3" xfId="0" applyNumberFormat="1" applyFont="1" applyBorder="1" applyAlignment="1" applyProtection="1">
      <alignment horizontal="right" vertical="center"/>
      <protection locked="0"/>
    </xf>
    <xf numFmtId="4" fontId="15" fillId="0" borderId="3" xfId="0" applyNumberFormat="1" applyFont="1" applyBorder="1" applyAlignment="1" applyProtection="1">
      <alignment wrapText="1"/>
      <protection locked="0"/>
    </xf>
    <xf numFmtId="168" fontId="15" fillId="0" borderId="3" xfId="0" applyNumberFormat="1" applyFont="1" applyBorder="1" applyAlignment="1" applyProtection="1">
      <alignment horizontal="right" vertical="center"/>
      <protection locked="0"/>
    </xf>
    <xf numFmtId="4" fontId="15" fillId="0" borderId="3" xfId="0" applyNumberFormat="1" applyFont="1" applyBorder="1" applyAlignment="1" applyProtection="1">
      <alignment horizontal="right" vertical="center"/>
      <protection locked="0"/>
    </xf>
    <xf numFmtId="166" fontId="15" fillId="0" borderId="3" xfId="0" applyNumberFormat="1" applyFont="1" applyBorder="1" applyAlignment="1" applyProtection="1">
      <alignment horizontal="right" vertical="center"/>
      <protection locked="0"/>
    </xf>
    <xf numFmtId="8" fontId="15" fillId="0" borderId="3" xfId="1" applyNumberFormat="1" applyFont="1" applyFill="1" applyBorder="1" applyAlignment="1" applyProtection="1">
      <alignment horizontal="right" vertical="center"/>
      <protection locked="0"/>
    </xf>
    <xf numFmtId="7" fontId="15" fillId="0" borderId="3" xfId="0" applyNumberFormat="1" applyFont="1" applyBorder="1" applyAlignment="1" applyProtection="1">
      <alignment horizontal="right" vertical="center"/>
      <protection locked="0"/>
    </xf>
    <xf numFmtId="166" fontId="15" fillId="0" borderId="3" xfId="0" applyNumberFormat="1" applyFont="1" applyBorder="1" applyAlignment="1" applyProtection="1">
      <alignment horizontal="left" wrapText="1"/>
      <protection locked="0"/>
    </xf>
    <xf numFmtId="44" fontId="15" fillId="0" borderId="3" xfId="1" applyFont="1" applyFill="1" applyBorder="1" applyAlignment="1" applyProtection="1">
      <alignment horizontal="center" wrapText="1"/>
      <protection locked="0"/>
    </xf>
    <xf numFmtId="0" fontId="15" fillId="0" borderId="3" xfId="0" applyFont="1" applyBorder="1"/>
    <xf numFmtId="44" fontId="16" fillId="0" borderId="3" xfId="1" applyFont="1" applyFill="1" applyBorder="1"/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66" fontId="14" fillId="0" borderId="4" xfId="0" applyNumberFormat="1" applyFont="1" applyFill="1" applyBorder="1" applyAlignment="1">
      <alignment horizontal="center" wrapText="1"/>
    </xf>
    <xf numFmtId="167" fontId="15" fillId="0" borderId="4" xfId="0" applyNumberFormat="1" applyFont="1" applyFill="1" applyBorder="1" applyAlignment="1" applyProtection="1">
      <alignment horizontal="right" vertical="center"/>
      <protection locked="0"/>
    </xf>
    <xf numFmtId="168" fontId="15" fillId="0" borderId="4" xfId="0" applyNumberFormat="1" applyFont="1" applyFill="1" applyBorder="1" applyAlignment="1" applyProtection="1">
      <alignment horizontal="right" vertical="center"/>
      <protection locked="0"/>
    </xf>
    <xf numFmtId="168" fontId="15" fillId="0" borderId="5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center"/>
    </xf>
    <xf numFmtId="4" fontId="0" fillId="0" borderId="0" xfId="0" applyNumberFormat="1"/>
    <xf numFmtId="13" fontId="15" fillId="0" borderId="3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wrapText="1"/>
    </xf>
    <xf numFmtId="0" fontId="10" fillId="0" borderId="0" xfId="0" applyFont="1"/>
    <xf numFmtId="0" fontId="0" fillId="0" borderId="0" xfId="1" applyNumberFormat="1" applyFont="1"/>
    <xf numFmtId="0" fontId="0" fillId="0" borderId="0" xfId="0" applyNumberFormat="1"/>
    <xf numFmtId="165" fontId="11" fillId="0" borderId="0" xfId="0" applyNumberFormat="1" applyFont="1" applyBorder="1" applyAlignment="1">
      <alignment horizontal="right" wrapText="1"/>
    </xf>
    <xf numFmtId="10" fontId="11" fillId="0" borderId="0" xfId="0" applyNumberFormat="1" applyFont="1" applyBorder="1" applyAlignment="1">
      <alignment horizontal="right" wrapText="1"/>
    </xf>
    <xf numFmtId="0" fontId="18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2" fillId="0" borderId="1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9" fillId="0" borderId="0" xfId="0" applyFont="1" applyAlignment="1">
      <alignment horizontal="left" wrapText="1"/>
    </xf>
    <xf numFmtId="44" fontId="18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2"/>
  <sheetViews>
    <sheetView tabSelected="1" zoomScale="120" zoomScaleNormal="120" workbookViewId="0">
      <selection sqref="A1:E1"/>
    </sheetView>
  </sheetViews>
  <sheetFormatPr defaultRowHeight="14.5" x14ac:dyDescent="0.35"/>
  <cols>
    <col min="1" max="1" width="54.1796875" customWidth="1"/>
    <col min="2" max="2" width="18" customWidth="1"/>
    <col min="3" max="3" width="13.453125" customWidth="1"/>
    <col min="4" max="4" width="11.7265625" customWidth="1"/>
    <col min="5" max="5" width="11.90625" customWidth="1"/>
    <col min="6" max="6" width="12.54296875" bestFit="1" customWidth="1"/>
  </cols>
  <sheetData>
    <row r="1" spans="1:6" ht="18" x14ac:dyDescent="0.4">
      <c r="A1" s="45" t="s">
        <v>0</v>
      </c>
      <c r="B1" s="46"/>
      <c r="C1" s="46"/>
      <c r="D1" s="46"/>
      <c r="E1" s="46"/>
    </row>
    <row r="2" spans="1:6" ht="18" x14ac:dyDescent="0.4">
      <c r="A2" s="45" t="s">
        <v>409</v>
      </c>
      <c r="B2" s="46"/>
      <c r="C2" s="46"/>
      <c r="D2" s="46"/>
      <c r="E2" s="46"/>
    </row>
    <row r="3" spans="1:6" x14ac:dyDescent="0.35">
      <c r="A3" s="53" t="s">
        <v>1</v>
      </c>
      <c r="B3" s="46"/>
      <c r="C3" s="46"/>
      <c r="D3" s="46"/>
      <c r="E3" s="46"/>
    </row>
    <row r="5" spans="1:6" x14ac:dyDescent="0.35">
      <c r="A5" s="1"/>
      <c r="B5" s="43" t="s">
        <v>2</v>
      </c>
      <c r="C5" s="44"/>
      <c r="D5" s="44"/>
      <c r="E5" s="44"/>
    </row>
    <row r="6" spans="1:6" ht="24" x14ac:dyDescent="0.35">
      <c r="A6" s="1"/>
      <c r="B6" s="19" t="s">
        <v>3</v>
      </c>
      <c r="C6" s="19" t="s">
        <v>4</v>
      </c>
      <c r="D6" s="19" t="s">
        <v>5</v>
      </c>
      <c r="E6" s="19" t="s">
        <v>6</v>
      </c>
      <c r="F6" s="56" t="s">
        <v>435</v>
      </c>
    </row>
    <row r="7" spans="1:6" x14ac:dyDescent="0.35">
      <c r="A7" s="20" t="s">
        <v>7</v>
      </c>
      <c r="B7" s="21"/>
      <c r="C7" s="21"/>
      <c r="D7" s="21"/>
      <c r="E7" s="21"/>
    </row>
    <row r="8" spans="1:6" x14ac:dyDescent="0.35">
      <c r="A8" s="20" t="s">
        <v>8</v>
      </c>
      <c r="B8" s="21"/>
      <c r="C8" s="21"/>
      <c r="D8" s="22">
        <f t="shared" ref="D8:D69" si="0">(B8)-(C8)</f>
        <v>0</v>
      </c>
      <c r="E8" s="23" t="str">
        <f t="shared" ref="E8:E69" si="1">IF(C8=0,"",(B8)/(C8))</f>
        <v/>
      </c>
    </row>
    <row r="9" spans="1:6" x14ac:dyDescent="0.35">
      <c r="A9" s="20" t="s">
        <v>436</v>
      </c>
      <c r="B9" s="22">
        <f>15000</f>
        <v>15000</v>
      </c>
      <c r="C9" s="22">
        <f>15000</f>
        <v>15000</v>
      </c>
      <c r="D9" s="22">
        <f t="shared" si="0"/>
        <v>0</v>
      </c>
      <c r="E9" s="23">
        <f t="shared" si="1"/>
        <v>1</v>
      </c>
      <c r="F9">
        <v>19040</v>
      </c>
    </row>
    <row r="10" spans="1:6" x14ac:dyDescent="0.35">
      <c r="A10" s="20" t="s">
        <v>9</v>
      </c>
      <c r="B10" s="22">
        <f>87219.07</f>
        <v>87219.07</v>
      </c>
      <c r="C10" s="22">
        <f>86000</f>
        <v>86000</v>
      </c>
      <c r="D10" s="22">
        <f t="shared" si="0"/>
        <v>1219.070000000007</v>
      </c>
      <c r="E10" s="23">
        <f t="shared" si="1"/>
        <v>1.0141752325581397</v>
      </c>
      <c r="F10">
        <v>87000</v>
      </c>
    </row>
    <row r="11" spans="1:6" x14ac:dyDescent="0.35">
      <c r="A11" s="20" t="s">
        <v>10</v>
      </c>
      <c r="B11" s="22">
        <f>13220</f>
        <v>13220</v>
      </c>
      <c r="C11" s="22">
        <f>13100</f>
        <v>13100</v>
      </c>
      <c r="D11" s="22">
        <f t="shared" si="0"/>
        <v>120</v>
      </c>
      <c r="E11" s="23">
        <f t="shared" si="1"/>
        <v>1.0091603053435114</v>
      </c>
      <c r="F11">
        <v>13100</v>
      </c>
    </row>
    <row r="12" spans="1:6" x14ac:dyDescent="0.35">
      <c r="A12" s="20" t="s">
        <v>11</v>
      </c>
      <c r="B12" s="22">
        <f>2186.73</f>
        <v>2186.73</v>
      </c>
      <c r="C12" s="22">
        <f>200</f>
        <v>200</v>
      </c>
      <c r="D12" s="22">
        <f t="shared" si="0"/>
        <v>1986.73</v>
      </c>
      <c r="E12" s="23">
        <f t="shared" si="1"/>
        <v>10.93365</v>
      </c>
      <c r="F12">
        <v>2000</v>
      </c>
    </row>
    <row r="13" spans="1:6" x14ac:dyDescent="0.35">
      <c r="A13" s="20" t="s">
        <v>12</v>
      </c>
      <c r="B13" s="22">
        <f>2000</f>
        <v>2000</v>
      </c>
      <c r="C13" s="22">
        <f>1000</f>
        <v>1000</v>
      </c>
      <c r="D13" s="22">
        <f t="shared" si="0"/>
        <v>1000</v>
      </c>
      <c r="E13" s="23">
        <f t="shared" si="1"/>
        <v>2</v>
      </c>
      <c r="F13">
        <v>1000</v>
      </c>
    </row>
    <row r="14" spans="1:6" x14ac:dyDescent="0.35">
      <c r="A14" s="20" t="s">
        <v>13</v>
      </c>
      <c r="B14" s="24">
        <f>(B12)+(B13)</f>
        <v>4186.7299999999996</v>
      </c>
      <c r="C14" s="24">
        <f>(C12)+(C13)</f>
        <v>1200</v>
      </c>
      <c r="D14" s="24">
        <f t="shared" si="0"/>
        <v>2986.7299999999996</v>
      </c>
      <c r="E14" s="25">
        <f t="shared" si="1"/>
        <v>3.4889416666666664</v>
      </c>
      <c r="F14" s="57"/>
    </row>
    <row r="15" spans="1:6" x14ac:dyDescent="0.35">
      <c r="A15" s="20" t="s">
        <v>14</v>
      </c>
      <c r="B15" s="22">
        <f>2636.65</f>
        <v>2636.65</v>
      </c>
      <c r="C15" s="22">
        <f>1000</f>
        <v>1000</v>
      </c>
      <c r="D15" s="22">
        <f t="shared" si="0"/>
        <v>1636.65</v>
      </c>
      <c r="E15" s="23">
        <f t="shared" si="1"/>
        <v>2.6366499999999999</v>
      </c>
      <c r="F15">
        <v>1000</v>
      </c>
    </row>
    <row r="16" spans="1:6" x14ac:dyDescent="0.35">
      <c r="A16" s="20" t="s">
        <v>15</v>
      </c>
      <c r="B16" s="22">
        <f>1182.99</f>
        <v>1182.99</v>
      </c>
      <c r="C16" s="22">
        <f>200</f>
        <v>200</v>
      </c>
      <c r="D16" s="22">
        <f t="shared" si="0"/>
        <v>982.99</v>
      </c>
      <c r="E16" s="23">
        <f t="shared" si="1"/>
        <v>5.9149500000000002</v>
      </c>
      <c r="F16">
        <v>200</v>
      </c>
    </row>
    <row r="17" spans="1:7" x14ac:dyDescent="0.35">
      <c r="A17" s="20" t="s">
        <v>16</v>
      </c>
      <c r="B17" s="22">
        <f>900</f>
        <v>900</v>
      </c>
      <c r="C17" s="22">
        <f>2000</f>
        <v>2000</v>
      </c>
      <c r="D17" s="22">
        <f t="shared" si="0"/>
        <v>-1100</v>
      </c>
      <c r="E17" s="23">
        <f t="shared" si="1"/>
        <v>0.45</v>
      </c>
      <c r="F17">
        <v>900</v>
      </c>
    </row>
    <row r="18" spans="1:7" x14ac:dyDescent="0.35">
      <c r="A18" s="20" t="s">
        <v>17</v>
      </c>
      <c r="B18" s="22">
        <f>2143.36</f>
        <v>2143.36</v>
      </c>
      <c r="C18" s="22">
        <f>2700</f>
        <v>2700</v>
      </c>
      <c r="D18" s="22">
        <f t="shared" si="0"/>
        <v>-556.63999999999987</v>
      </c>
      <c r="E18" s="23">
        <f t="shared" si="1"/>
        <v>0.79383703703703712</v>
      </c>
      <c r="F18">
        <v>2500</v>
      </c>
    </row>
    <row r="19" spans="1:7" x14ac:dyDescent="0.35">
      <c r="A19" s="20" t="s">
        <v>18</v>
      </c>
      <c r="B19" s="22">
        <f>3864</f>
        <v>3864</v>
      </c>
      <c r="C19" s="22">
        <f>3400</f>
        <v>3400</v>
      </c>
      <c r="D19" s="22">
        <f t="shared" si="0"/>
        <v>464</v>
      </c>
      <c r="E19" s="23">
        <f t="shared" si="1"/>
        <v>1.1364705882352941</v>
      </c>
      <c r="F19">
        <v>3600</v>
      </c>
    </row>
    <row r="20" spans="1:7" x14ac:dyDescent="0.35">
      <c r="A20" s="20" t="s">
        <v>19</v>
      </c>
      <c r="B20" s="22">
        <f>100</f>
        <v>100</v>
      </c>
      <c r="C20" s="22">
        <f>145</f>
        <v>145</v>
      </c>
      <c r="D20" s="22">
        <f t="shared" si="0"/>
        <v>-45</v>
      </c>
      <c r="E20" s="23">
        <f t="shared" si="1"/>
        <v>0.68965517241379315</v>
      </c>
      <c r="F20">
        <v>100</v>
      </c>
    </row>
    <row r="21" spans="1:7" x14ac:dyDescent="0.35">
      <c r="A21" s="20" t="s">
        <v>20</v>
      </c>
      <c r="B21" s="22">
        <f>16549</f>
        <v>16549</v>
      </c>
      <c r="C21" s="22">
        <f>15800</f>
        <v>15800</v>
      </c>
      <c r="D21" s="22">
        <f t="shared" si="0"/>
        <v>749</v>
      </c>
      <c r="E21" s="23">
        <f t="shared" si="1"/>
        <v>1.0474050632911391</v>
      </c>
      <c r="F21">
        <v>16000</v>
      </c>
    </row>
    <row r="22" spans="1:7" x14ac:dyDescent="0.35">
      <c r="A22" s="20" t="s">
        <v>21</v>
      </c>
      <c r="B22" s="24">
        <f>(((((((((((B8)+(B9))+(B10))+(B11))+(B14))+(B15))+(B16))+(B17))+(B18))+(B19))+(B20))+(B21)</f>
        <v>147001.79999999999</v>
      </c>
      <c r="C22" s="24">
        <f>(((((((((((C8)+(C9))+(C10))+(C11))+(C14))+(C15))+(C16))+(C17))+(C18))+(C19))+(C20))+(C21)</f>
        <v>140545</v>
      </c>
      <c r="D22" s="24">
        <f t="shared" si="0"/>
        <v>6456.7999999999884</v>
      </c>
      <c r="E22" s="25">
        <f t="shared" si="1"/>
        <v>1.0459411576363442</v>
      </c>
    </row>
    <row r="23" spans="1:7" x14ac:dyDescent="0.35">
      <c r="A23" s="20" t="s">
        <v>22</v>
      </c>
      <c r="B23" s="21"/>
      <c r="C23" s="21"/>
      <c r="D23" s="22">
        <f t="shared" si="0"/>
        <v>0</v>
      </c>
      <c r="E23" s="23" t="str">
        <f t="shared" si="1"/>
        <v/>
      </c>
    </row>
    <row r="24" spans="1:7" x14ac:dyDescent="0.35">
      <c r="A24" s="20" t="s">
        <v>23</v>
      </c>
      <c r="B24" s="21"/>
      <c r="C24" s="21"/>
      <c r="D24" s="22">
        <f t="shared" si="0"/>
        <v>0</v>
      </c>
      <c r="E24" s="23" t="str">
        <f t="shared" si="1"/>
        <v/>
      </c>
    </row>
    <row r="25" spans="1:7" x14ac:dyDescent="0.35">
      <c r="A25" s="20" t="s">
        <v>24</v>
      </c>
      <c r="B25" s="22">
        <f>14732</f>
        <v>14732</v>
      </c>
      <c r="C25" s="22">
        <f>13000</f>
        <v>13000</v>
      </c>
      <c r="D25" s="22">
        <f t="shared" si="0"/>
        <v>1732</v>
      </c>
      <c r="E25" s="23">
        <f t="shared" si="1"/>
        <v>1.1332307692307693</v>
      </c>
      <c r="F25">
        <v>15000</v>
      </c>
    </row>
    <row r="26" spans="1:7" x14ac:dyDescent="0.35">
      <c r="A26" s="20" t="s">
        <v>25</v>
      </c>
      <c r="B26" s="22">
        <f>220</f>
        <v>220</v>
      </c>
      <c r="C26" s="22">
        <f>750</f>
        <v>750</v>
      </c>
      <c r="D26" s="22">
        <f t="shared" si="0"/>
        <v>-530</v>
      </c>
      <c r="E26" s="23">
        <f t="shared" si="1"/>
        <v>0.29333333333333333</v>
      </c>
      <c r="F26">
        <v>220</v>
      </c>
    </row>
    <row r="27" spans="1:7" x14ac:dyDescent="0.35">
      <c r="A27" s="20" t="s">
        <v>26</v>
      </c>
      <c r="B27" s="22">
        <f>13329.5</f>
        <v>13329.5</v>
      </c>
      <c r="C27" s="22">
        <f>16000</f>
        <v>16000</v>
      </c>
      <c r="D27" s="22">
        <f t="shared" si="0"/>
        <v>-2670.5</v>
      </c>
      <c r="E27" s="23">
        <f t="shared" si="1"/>
        <v>0.83309374999999997</v>
      </c>
      <c r="F27">
        <v>14000</v>
      </c>
    </row>
    <row r="28" spans="1:7" x14ac:dyDescent="0.35">
      <c r="A28" s="20" t="s">
        <v>27</v>
      </c>
      <c r="B28" s="24">
        <f>(((B24)+(B25))+(B26))+(B27)</f>
        <v>28281.5</v>
      </c>
      <c r="C28" s="24">
        <f>(((C24)+(C25))+(C26))+(C27)</f>
        <v>29750</v>
      </c>
      <c r="D28" s="24">
        <f t="shared" si="0"/>
        <v>-1468.5</v>
      </c>
      <c r="E28" s="25">
        <f t="shared" si="1"/>
        <v>0.95063865546218485</v>
      </c>
    </row>
    <row r="29" spans="1:7" x14ac:dyDescent="0.35">
      <c r="A29" s="20" t="s">
        <v>399</v>
      </c>
      <c r="B29" s="21"/>
      <c r="C29" s="21"/>
      <c r="D29" s="22">
        <f t="shared" si="0"/>
        <v>0</v>
      </c>
      <c r="E29" s="23" t="str">
        <f t="shared" si="1"/>
        <v/>
      </c>
    </row>
    <row r="30" spans="1:7" x14ac:dyDescent="0.35">
      <c r="A30" s="20" t="s">
        <v>33</v>
      </c>
      <c r="B30" s="22">
        <f>86466</f>
        <v>86466</v>
      </c>
      <c r="C30" s="22">
        <f>70000</f>
        <v>70000</v>
      </c>
      <c r="D30" s="22">
        <f t="shared" si="0"/>
        <v>16466</v>
      </c>
      <c r="E30" s="23">
        <f t="shared" si="1"/>
        <v>1.2352285714285713</v>
      </c>
      <c r="F30">
        <v>90000</v>
      </c>
      <c r="G30" t="s">
        <v>448</v>
      </c>
    </row>
    <row r="31" spans="1:7" x14ac:dyDescent="0.35">
      <c r="A31" s="20" t="s">
        <v>34</v>
      </c>
      <c r="B31" s="22">
        <f>137137.6</f>
        <v>137137.60000000001</v>
      </c>
      <c r="C31" s="22">
        <f>118000</f>
        <v>118000</v>
      </c>
      <c r="D31" s="22">
        <f t="shared" si="0"/>
        <v>19137.600000000006</v>
      </c>
      <c r="E31" s="23">
        <f t="shared" si="1"/>
        <v>1.1621830508474578</v>
      </c>
      <c r="F31">
        <v>135000</v>
      </c>
    </row>
    <row r="32" spans="1:7" x14ac:dyDescent="0.35">
      <c r="A32" s="20" t="s">
        <v>35</v>
      </c>
      <c r="B32" s="22">
        <f>3575</f>
        <v>3575</v>
      </c>
      <c r="C32" s="22">
        <f>4000</f>
        <v>4000</v>
      </c>
      <c r="D32" s="22">
        <f t="shared" si="0"/>
        <v>-425</v>
      </c>
      <c r="E32" s="23">
        <f t="shared" si="1"/>
        <v>0.89375000000000004</v>
      </c>
      <c r="F32">
        <v>3500</v>
      </c>
    </row>
    <row r="33" spans="1:7" x14ac:dyDescent="0.35">
      <c r="A33" s="20" t="s">
        <v>400</v>
      </c>
      <c r="B33" s="24">
        <f>(((B29)+(B30))+(B31))+(B32)</f>
        <v>227178.6</v>
      </c>
      <c r="C33" s="24">
        <f>(((C29)+(C30))+(C31))+(C32)</f>
        <v>192000</v>
      </c>
      <c r="D33" s="24">
        <f t="shared" si="0"/>
        <v>35178.600000000006</v>
      </c>
      <c r="E33" s="25">
        <f t="shared" si="1"/>
        <v>1.1832218750000001</v>
      </c>
    </row>
    <row r="34" spans="1:7" x14ac:dyDescent="0.35">
      <c r="A34" s="20" t="s">
        <v>28</v>
      </c>
      <c r="B34" s="21"/>
      <c r="C34" s="21"/>
      <c r="D34" s="22">
        <f t="shared" si="0"/>
        <v>0</v>
      </c>
      <c r="E34" s="23" t="str">
        <f t="shared" si="1"/>
        <v/>
      </c>
    </row>
    <row r="35" spans="1:7" x14ac:dyDescent="0.35">
      <c r="A35" s="20" t="s">
        <v>29</v>
      </c>
      <c r="B35" s="22">
        <f>30094</f>
        <v>30094</v>
      </c>
      <c r="C35" s="22">
        <f>26000</f>
        <v>26000</v>
      </c>
      <c r="D35" s="22">
        <f t="shared" si="0"/>
        <v>4094</v>
      </c>
      <c r="E35" s="23">
        <f t="shared" si="1"/>
        <v>1.1574615384615385</v>
      </c>
      <c r="F35">
        <v>31000</v>
      </c>
      <c r="G35" t="s">
        <v>448</v>
      </c>
    </row>
    <row r="36" spans="1:7" x14ac:dyDescent="0.35">
      <c r="A36" s="20" t="s">
        <v>30</v>
      </c>
      <c r="B36" s="22">
        <f>76912.85</f>
        <v>76912.850000000006</v>
      </c>
      <c r="C36" s="22">
        <f>68000</f>
        <v>68000</v>
      </c>
      <c r="D36" s="22">
        <f t="shared" si="0"/>
        <v>8912.8500000000058</v>
      </c>
      <c r="E36" s="23">
        <f t="shared" si="1"/>
        <v>1.1310713235294119</v>
      </c>
      <c r="F36">
        <v>75000</v>
      </c>
    </row>
    <row r="37" spans="1:7" x14ac:dyDescent="0.35">
      <c r="A37" s="20" t="s">
        <v>31</v>
      </c>
      <c r="B37" s="22">
        <f>643.65</f>
        <v>643.65</v>
      </c>
      <c r="C37" s="22">
        <f>900</f>
        <v>900</v>
      </c>
      <c r="D37" s="22">
        <f t="shared" si="0"/>
        <v>-256.35000000000002</v>
      </c>
      <c r="E37" s="23">
        <f t="shared" si="1"/>
        <v>0.71516666666666662</v>
      </c>
      <c r="F37">
        <v>600</v>
      </c>
    </row>
    <row r="38" spans="1:7" x14ac:dyDescent="0.35">
      <c r="A38" s="20" t="s">
        <v>32</v>
      </c>
      <c r="B38" s="24">
        <f>(((B34)+(B35))+(B36))+(B37)</f>
        <v>107650.5</v>
      </c>
      <c r="C38" s="24">
        <f>(((C34)+(C35))+(C36))+(C37)</f>
        <v>94900</v>
      </c>
      <c r="D38" s="24">
        <f t="shared" si="0"/>
        <v>12750.5</v>
      </c>
      <c r="E38" s="25">
        <f t="shared" si="1"/>
        <v>1.1343572181243413</v>
      </c>
    </row>
    <row r="39" spans="1:7" x14ac:dyDescent="0.35">
      <c r="A39" s="20" t="s">
        <v>36</v>
      </c>
      <c r="B39" s="21"/>
      <c r="C39" s="21"/>
      <c r="D39" s="22">
        <f t="shared" si="0"/>
        <v>0</v>
      </c>
      <c r="E39" s="23" t="str">
        <f t="shared" si="1"/>
        <v/>
      </c>
    </row>
    <row r="40" spans="1:7" x14ac:dyDescent="0.35">
      <c r="A40" s="20" t="s">
        <v>37</v>
      </c>
      <c r="B40" s="22">
        <f>9904</f>
        <v>9904</v>
      </c>
      <c r="C40" s="22">
        <f>8500</f>
        <v>8500</v>
      </c>
      <c r="D40" s="22">
        <f t="shared" si="0"/>
        <v>1404</v>
      </c>
      <c r="E40" s="23">
        <f t="shared" si="1"/>
        <v>1.1651764705882353</v>
      </c>
      <c r="F40">
        <v>10000</v>
      </c>
    </row>
    <row r="41" spans="1:7" x14ac:dyDescent="0.35">
      <c r="A41" s="20" t="s">
        <v>38</v>
      </c>
      <c r="B41" s="22">
        <f>440</f>
        <v>440</v>
      </c>
      <c r="C41" s="22">
        <f>750</f>
        <v>750</v>
      </c>
      <c r="D41" s="22">
        <f t="shared" si="0"/>
        <v>-310</v>
      </c>
      <c r="E41" s="23">
        <f t="shared" si="1"/>
        <v>0.58666666666666667</v>
      </c>
      <c r="F41">
        <v>400</v>
      </c>
    </row>
    <row r="42" spans="1:7" x14ac:dyDescent="0.35">
      <c r="A42" s="20" t="s">
        <v>39</v>
      </c>
      <c r="B42" s="22">
        <f>6950.08</f>
        <v>6950.08</v>
      </c>
      <c r="C42" s="22">
        <f>7000</f>
        <v>7000</v>
      </c>
      <c r="D42" s="22">
        <f t="shared" si="0"/>
        <v>-49.920000000000073</v>
      </c>
      <c r="E42" s="23">
        <f t="shared" si="1"/>
        <v>0.99286857142857143</v>
      </c>
      <c r="F42">
        <v>7000</v>
      </c>
    </row>
    <row r="43" spans="1:7" x14ac:dyDescent="0.35">
      <c r="A43" s="20" t="s">
        <v>40</v>
      </c>
      <c r="B43" s="24">
        <f>(((B39)+(B40))+(B41))+(B42)</f>
        <v>17294.080000000002</v>
      </c>
      <c r="C43" s="24">
        <f>(((C39)+(C40))+(C41))+(C42)</f>
        <v>16250</v>
      </c>
      <c r="D43" s="24">
        <f t="shared" si="0"/>
        <v>1044.0800000000017</v>
      </c>
      <c r="E43" s="25">
        <f t="shared" si="1"/>
        <v>1.0642510769230771</v>
      </c>
    </row>
    <row r="44" spans="1:7" x14ac:dyDescent="0.35">
      <c r="A44" s="20" t="s">
        <v>41</v>
      </c>
      <c r="B44" s="24">
        <f>((((B23)+(B28))+(B33))+(B38))+(B43)</f>
        <v>380404.68</v>
      </c>
      <c r="C44" s="24">
        <f>((((C23)+(C28))+(C33))+(C38))+(C43)</f>
        <v>332900</v>
      </c>
      <c r="D44" s="24">
        <f t="shared" si="0"/>
        <v>47504.679999999993</v>
      </c>
      <c r="E44" s="25">
        <f t="shared" si="1"/>
        <v>1.1426995494142385</v>
      </c>
    </row>
    <row r="45" spans="1:7" x14ac:dyDescent="0.35">
      <c r="A45" s="20" t="s">
        <v>42</v>
      </c>
      <c r="B45" s="21"/>
      <c r="C45" s="21"/>
      <c r="D45" s="22">
        <f t="shared" si="0"/>
        <v>0</v>
      </c>
      <c r="E45" s="23" t="str">
        <f t="shared" si="1"/>
        <v/>
      </c>
    </row>
    <row r="46" spans="1:7" x14ac:dyDescent="0.35">
      <c r="A46" s="20" t="s">
        <v>43</v>
      </c>
      <c r="B46" s="22">
        <f>11147.78</f>
        <v>11147.78</v>
      </c>
      <c r="C46" s="22">
        <f>24000</f>
        <v>24000</v>
      </c>
      <c r="D46" s="22">
        <f t="shared" si="0"/>
        <v>-12852.22</v>
      </c>
      <c r="E46" s="23">
        <f t="shared" si="1"/>
        <v>0.46449083333333335</v>
      </c>
      <c r="F46">
        <v>11000</v>
      </c>
    </row>
    <row r="47" spans="1:7" x14ac:dyDescent="0.35">
      <c r="A47" s="20" t="s">
        <v>44</v>
      </c>
      <c r="B47" s="22">
        <f>1880.63</f>
        <v>1880.63</v>
      </c>
      <c r="C47" s="22">
        <f>5200</f>
        <v>5200</v>
      </c>
      <c r="D47" s="22">
        <f t="shared" si="0"/>
        <v>-3319.37</v>
      </c>
      <c r="E47" s="23">
        <f t="shared" si="1"/>
        <v>0.36165961538461538</v>
      </c>
      <c r="F47">
        <v>2000</v>
      </c>
    </row>
    <row r="48" spans="1:7" x14ac:dyDescent="0.35">
      <c r="A48" s="20" t="s">
        <v>407</v>
      </c>
      <c r="B48" s="22">
        <f>12703.62</f>
        <v>12703.62</v>
      </c>
      <c r="C48" s="22">
        <f>12750</f>
        <v>12750</v>
      </c>
      <c r="D48" s="22">
        <f t="shared" si="0"/>
        <v>-46.3799999999992</v>
      </c>
      <c r="E48" s="23">
        <f t="shared" si="1"/>
        <v>0.99636235294117659</v>
      </c>
      <c r="F48">
        <v>12700</v>
      </c>
    </row>
    <row r="49" spans="1:7" x14ac:dyDescent="0.35">
      <c r="A49" s="20" t="s">
        <v>46</v>
      </c>
      <c r="B49" s="21"/>
      <c r="C49" s="22">
        <f>60000</f>
        <v>60000</v>
      </c>
      <c r="D49" s="22">
        <f t="shared" si="0"/>
        <v>-60000</v>
      </c>
      <c r="E49" s="23">
        <f t="shared" si="1"/>
        <v>0</v>
      </c>
      <c r="F49">
        <v>60000</v>
      </c>
    </row>
    <row r="50" spans="1:7" x14ac:dyDescent="0.35">
      <c r="A50" s="20" t="s">
        <v>47</v>
      </c>
      <c r="B50" s="22">
        <f>19670</f>
        <v>19670</v>
      </c>
      <c r="C50" s="22">
        <f>19400</f>
        <v>19400</v>
      </c>
      <c r="D50" s="22">
        <f t="shared" si="0"/>
        <v>270</v>
      </c>
      <c r="E50" s="23">
        <f t="shared" si="1"/>
        <v>1.0139175257731958</v>
      </c>
      <c r="F50">
        <v>19670</v>
      </c>
    </row>
    <row r="51" spans="1:7" x14ac:dyDescent="0.35">
      <c r="A51" s="20" t="s">
        <v>48</v>
      </c>
      <c r="B51" s="21"/>
      <c r="C51" s="22">
        <f>100</f>
        <v>100</v>
      </c>
      <c r="D51" s="22">
        <f t="shared" si="0"/>
        <v>-100</v>
      </c>
      <c r="E51" s="23">
        <f t="shared" si="1"/>
        <v>0</v>
      </c>
      <c r="F51">
        <v>100</v>
      </c>
    </row>
    <row r="52" spans="1:7" x14ac:dyDescent="0.35">
      <c r="A52" s="20" t="s">
        <v>49</v>
      </c>
      <c r="B52" s="24">
        <f>(B50)+(B51)</f>
        <v>19670</v>
      </c>
      <c r="C52" s="24">
        <f>(C50)+(C51)</f>
        <v>19500</v>
      </c>
      <c r="D52" s="24">
        <f t="shared" si="0"/>
        <v>170</v>
      </c>
      <c r="E52" s="25">
        <f t="shared" si="1"/>
        <v>1.0087179487179487</v>
      </c>
    </row>
    <row r="53" spans="1:7" x14ac:dyDescent="0.35">
      <c r="A53" s="20" t="s">
        <v>50</v>
      </c>
      <c r="B53" s="22">
        <f>3615.13</f>
        <v>3615.13</v>
      </c>
      <c r="C53" s="22">
        <f>3472</f>
        <v>3472</v>
      </c>
      <c r="D53" s="22">
        <f t="shared" si="0"/>
        <v>143.13000000000011</v>
      </c>
      <c r="E53" s="23">
        <f t="shared" si="1"/>
        <v>1.0412240783410138</v>
      </c>
      <c r="F53">
        <v>3700</v>
      </c>
    </row>
    <row r="54" spans="1:7" x14ac:dyDescent="0.35">
      <c r="A54" s="20" t="s">
        <v>410</v>
      </c>
      <c r="B54" s="22">
        <f>119695.15</f>
        <v>119695.15</v>
      </c>
      <c r="C54" s="22">
        <f>105850</f>
        <v>105850</v>
      </c>
      <c r="D54" s="22">
        <f t="shared" si="0"/>
        <v>13845.149999999994</v>
      </c>
      <c r="E54" s="23">
        <f t="shared" si="1"/>
        <v>1.1307997165800661</v>
      </c>
      <c r="F54">
        <v>118000</v>
      </c>
    </row>
    <row r="55" spans="1:7" x14ac:dyDescent="0.35">
      <c r="A55" s="20" t="s">
        <v>51</v>
      </c>
      <c r="B55" s="22">
        <f>12546.88</f>
        <v>12546.88</v>
      </c>
      <c r="C55" s="22">
        <f>12196</f>
        <v>12196</v>
      </c>
      <c r="D55" s="22">
        <f t="shared" si="0"/>
        <v>350.8799999999992</v>
      </c>
      <c r="E55" s="23">
        <f t="shared" si="1"/>
        <v>1.0287700885536242</v>
      </c>
      <c r="F55">
        <v>12500</v>
      </c>
    </row>
    <row r="56" spans="1:7" x14ac:dyDescent="0.35">
      <c r="A56" s="20" t="s">
        <v>52</v>
      </c>
      <c r="B56" s="22">
        <f>6037.87</f>
        <v>6037.87</v>
      </c>
      <c r="C56" s="22">
        <f>8114</f>
        <v>8114</v>
      </c>
      <c r="D56" s="22">
        <f t="shared" si="0"/>
        <v>-2076.13</v>
      </c>
      <c r="E56" s="23">
        <f t="shared" si="1"/>
        <v>0.74412989894010351</v>
      </c>
      <c r="F56">
        <v>6500</v>
      </c>
    </row>
    <row r="57" spans="1:7" x14ac:dyDescent="0.35">
      <c r="A57" s="20" t="s">
        <v>53</v>
      </c>
      <c r="B57" s="22">
        <f>864.75</f>
        <v>864.75</v>
      </c>
      <c r="C57" s="22">
        <f>30000</f>
        <v>30000</v>
      </c>
      <c r="D57" s="22">
        <f t="shared" si="0"/>
        <v>-29135.25</v>
      </c>
      <c r="E57" s="23">
        <f t="shared" si="1"/>
        <v>2.8825E-2</v>
      </c>
      <c r="F57">
        <v>15000</v>
      </c>
    </row>
    <row r="58" spans="1:7" x14ac:dyDescent="0.35">
      <c r="A58" s="20" t="s">
        <v>54</v>
      </c>
      <c r="B58" s="22">
        <f>8596.39</f>
        <v>8596.39</v>
      </c>
      <c r="C58" s="22">
        <f>5500</f>
        <v>5500</v>
      </c>
      <c r="D58" s="22">
        <f t="shared" si="0"/>
        <v>3096.3899999999994</v>
      </c>
      <c r="E58" s="23">
        <f t="shared" si="1"/>
        <v>1.5629799999999998</v>
      </c>
      <c r="F58">
        <v>9000</v>
      </c>
    </row>
    <row r="59" spans="1:7" x14ac:dyDescent="0.35">
      <c r="A59" s="20" t="s">
        <v>55</v>
      </c>
      <c r="B59" s="22">
        <f>31504.63</f>
        <v>31504.63</v>
      </c>
      <c r="C59" s="22">
        <f>28965</f>
        <v>28965</v>
      </c>
      <c r="D59" s="22">
        <f t="shared" si="0"/>
        <v>2539.630000000001</v>
      </c>
      <c r="E59" s="23">
        <f t="shared" si="1"/>
        <v>1.0876792680821681</v>
      </c>
      <c r="F59">
        <v>32000</v>
      </c>
    </row>
    <row r="60" spans="1:7" x14ac:dyDescent="0.35">
      <c r="A60" s="20" t="s">
        <v>56</v>
      </c>
      <c r="B60" s="24">
        <f>((((((((((((B45)+(B46))+(B47))+(B48))+(B49))+(B52))+(B53))+(B54))+(B55))+(B56))+(B57))+(B58))+(B59)</f>
        <v>228262.83000000002</v>
      </c>
      <c r="C60" s="24">
        <f>((((((((((((C45)+(C46))+(C47))+(C48))+(C49))+(C52))+(C53))+(C54))+(C55))+(C56))+(C57))+(C58))+(C59)</f>
        <v>315547</v>
      </c>
      <c r="D60" s="24">
        <f t="shared" si="0"/>
        <v>-87284.169999999984</v>
      </c>
      <c r="E60" s="25">
        <f t="shared" si="1"/>
        <v>0.72338773621679187</v>
      </c>
    </row>
    <row r="61" spans="1:7" x14ac:dyDescent="0.35">
      <c r="A61" s="20" t="s">
        <v>57</v>
      </c>
      <c r="B61" s="21"/>
      <c r="C61" s="21"/>
      <c r="D61" s="22">
        <f t="shared" si="0"/>
        <v>0</v>
      </c>
      <c r="E61" s="23" t="str">
        <f t="shared" si="1"/>
        <v/>
      </c>
    </row>
    <row r="62" spans="1:7" x14ac:dyDescent="0.35">
      <c r="A62" s="20" t="s">
        <v>60</v>
      </c>
      <c r="B62" s="21"/>
      <c r="C62" s="21"/>
      <c r="D62" s="22">
        <f t="shared" si="0"/>
        <v>0</v>
      </c>
      <c r="E62" s="23" t="str">
        <f t="shared" si="1"/>
        <v/>
      </c>
    </row>
    <row r="63" spans="1:7" x14ac:dyDescent="0.35">
      <c r="A63" s="20" t="s">
        <v>61</v>
      </c>
      <c r="B63" s="22">
        <f>117775</f>
        <v>117775</v>
      </c>
      <c r="C63" s="22">
        <f>64000</f>
        <v>64000</v>
      </c>
      <c r="D63" s="22">
        <f t="shared" si="0"/>
        <v>53775</v>
      </c>
      <c r="E63" s="23">
        <f t="shared" si="1"/>
        <v>1.8402343750000001</v>
      </c>
      <c r="F63">
        <v>90000</v>
      </c>
      <c r="G63" t="s">
        <v>437</v>
      </c>
    </row>
    <row r="64" spans="1:7" x14ac:dyDescent="0.35">
      <c r="A64" s="20" t="s">
        <v>62</v>
      </c>
      <c r="B64" s="22">
        <f>4900</f>
        <v>4900</v>
      </c>
      <c r="C64" s="21"/>
      <c r="D64" s="22">
        <f t="shared" si="0"/>
        <v>4900</v>
      </c>
      <c r="E64" s="23" t="str">
        <f t="shared" si="1"/>
        <v/>
      </c>
      <c r="F64">
        <v>4900</v>
      </c>
    </row>
    <row r="65" spans="1:6" x14ac:dyDescent="0.35">
      <c r="A65" s="20" t="s">
        <v>63</v>
      </c>
      <c r="B65" s="22">
        <f>18374</f>
        <v>18374</v>
      </c>
      <c r="C65" s="22">
        <f>18000</f>
        <v>18000</v>
      </c>
      <c r="D65" s="22">
        <f t="shared" si="0"/>
        <v>374</v>
      </c>
      <c r="E65" s="23">
        <f t="shared" si="1"/>
        <v>1.0207777777777778</v>
      </c>
      <c r="F65">
        <v>18000</v>
      </c>
    </row>
    <row r="66" spans="1:6" x14ac:dyDescent="0.35">
      <c r="A66" s="20" t="s">
        <v>64</v>
      </c>
      <c r="B66" s="24">
        <f>(((B62)+(B63))+(B64))+(B65)</f>
        <v>141049</v>
      </c>
      <c r="C66" s="24">
        <f>(((C62)+(C63))+(C64))+(C65)</f>
        <v>82000</v>
      </c>
      <c r="D66" s="24">
        <f t="shared" si="0"/>
        <v>59049</v>
      </c>
      <c r="E66" s="25">
        <f t="shared" si="1"/>
        <v>1.7201097560975609</v>
      </c>
    </row>
    <row r="67" spans="1:6" x14ac:dyDescent="0.35">
      <c r="A67" s="20" t="s">
        <v>65</v>
      </c>
      <c r="B67" s="24">
        <f>(B61)+(B66)</f>
        <v>141049</v>
      </c>
      <c r="C67" s="24">
        <f>(C61)+(C66)</f>
        <v>82000</v>
      </c>
      <c r="D67" s="24">
        <f t="shared" si="0"/>
        <v>59049</v>
      </c>
      <c r="E67" s="25">
        <f t="shared" si="1"/>
        <v>1.7201097560975609</v>
      </c>
    </row>
    <row r="68" spans="1:6" x14ac:dyDescent="0.35">
      <c r="A68" s="20" t="s">
        <v>66</v>
      </c>
      <c r="B68" s="24">
        <f>(((B22)+(B44))+(B60))+(B67)</f>
        <v>896718.31</v>
      </c>
      <c r="C68" s="24">
        <f>(((C22)+(C44))+(C60))+(C67)</f>
        <v>870992</v>
      </c>
      <c r="D68" s="24">
        <f t="shared" si="0"/>
        <v>25726.310000000056</v>
      </c>
      <c r="E68" s="25">
        <f t="shared" si="1"/>
        <v>1.0295367925308154</v>
      </c>
      <c r="F68">
        <f>SUM(F9:F67)</f>
        <v>943230</v>
      </c>
    </row>
    <row r="69" spans="1:6" x14ac:dyDescent="0.35">
      <c r="A69" s="20" t="s">
        <v>67</v>
      </c>
      <c r="B69" s="24">
        <f>(B68)-(0)</f>
        <v>896718.31</v>
      </c>
      <c r="C69" s="24">
        <f>(C68)-(0)</f>
        <v>870992</v>
      </c>
      <c r="D69" s="24">
        <f t="shared" si="0"/>
        <v>25726.310000000056</v>
      </c>
      <c r="E69" s="25">
        <f t="shared" si="1"/>
        <v>1.0295367925308154</v>
      </c>
    </row>
    <row r="70" spans="1:6" x14ac:dyDescent="0.35">
      <c r="A70" s="20" t="s">
        <v>68</v>
      </c>
      <c r="B70" s="21"/>
      <c r="C70" s="21"/>
      <c r="D70" s="21"/>
      <c r="E70" s="21"/>
    </row>
    <row r="71" spans="1:6" x14ac:dyDescent="0.35">
      <c r="A71" s="20" t="s">
        <v>69</v>
      </c>
      <c r="B71" s="21"/>
      <c r="C71" s="21"/>
      <c r="D71" s="22">
        <f t="shared" ref="D71:D134" si="2">(B71)-(C71)</f>
        <v>0</v>
      </c>
      <c r="E71" s="23" t="str">
        <f t="shared" ref="E71:E134" si="3">IF(C71=0,"",(B71)/(C71))</f>
        <v/>
      </c>
    </row>
    <row r="72" spans="1:6" x14ac:dyDescent="0.35">
      <c r="A72" s="20" t="s">
        <v>70</v>
      </c>
      <c r="B72" s="21"/>
      <c r="C72" s="21"/>
      <c r="D72" s="22">
        <f t="shared" si="2"/>
        <v>0</v>
      </c>
      <c r="E72" s="23" t="str">
        <f t="shared" si="3"/>
        <v/>
      </c>
    </row>
    <row r="73" spans="1:6" x14ac:dyDescent="0.35">
      <c r="A73" s="20" t="s">
        <v>71</v>
      </c>
      <c r="B73" s="22">
        <f>7455.85</f>
        <v>7455.85</v>
      </c>
      <c r="C73" s="22">
        <f>7000</f>
        <v>7000</v>
      </c>
      <c r="D73" s="22">
        <f t="shared" si="2"/>
        <v>455.85000000000036</v>
      </c>
      <c r="E73" s="23">
        <f t="shared" si="3"/>
        <v>1.0651214285714286</v>
      </c>
      <c r="F73">
        <v>8000</v>
      </c>
    </row>
    <row r="74" spans="1:6" x14ac:dyDescent="0.35">
      <c r="A74" s="20" t="s">
        <v>72</v>
      </c>
      <c r="B74" s="24">
        <f>(B72)+(B73)</f>
        <v>7455.85</v>
      </c>
      <c r="C74" s="24">
        <f>(C72)+(C73)</f>
        <v>7000</v>
      </c>
      <c r="D74" s="24">
        <f t="shared" si="2"/>
        <v>455.85000000000036</v>
      </c>
      <c r="E74" s="25">
        <f t="shared" si="3"/>
        <v>1.0651214285714286</v>
      </c>
    </row>
    <row r="75" spans="1:6" x14ac:dyDescent="0.35">
      <c r="A75" s="20" t="s">
        <v>73</v>
      </c>
      <c r="B75" s="22">
        <f>1379.09</f>
        <v>1379.09</v>
      </c>
      <c r="C75" s="22">
        <f>1200</f>
        <v>1200</v>
      </c>
      <c r="D75" s="22">
        <f t="shared" si="2"/>
        <v>179.08999999999992</v>
      </c>
      <c r="E75" s="23">
        <f t="shared" si="3"/>
        <v>1.1492416666666665</v>
      </c>
      <c r="F75">
        <v>1400</v>
      </c>
    </row>
    <row r="76" spans="1:6" x14ac:dyDescent="0.35">
      <c r="A76" s="20" t="s">
        <v>74</v>
      </c>
      <c r="B76" s="22">
        <f>3623</f>
        <v>3623</v>
      </c>
      <c r="C76" s="22">
        <f>5000</f>
        <v>5000</v>
      </c>
      <c r="D76" s="22">
        <f t="shared" si="2"/>
        <v>-1377</v>
      </c>
      <c r="E76" s="23">
        <f t="shared" si="3"/>
        <v>0.72460000000000002</v>
      </c>
      <c r="F76">
        <v>5000</v>
      </c>
    </row>
    <row r="77" spans="1:6" x14ac:dyDescent="0.35">
      <c r="A77" s="20" t="s">
        <v>75</v>
      </c>
      <c r="B77" s="22">
        <f>2910</f>
        <v>2910</v>
      </c>
      <c r="C77" s="22">
        <f>3200</f>
        <v>3200</v>
      </c>
      <c r="D77" s="22">
        <f t="shared" si="2"/>
        <v>-290</v>
      </c>
      <c r="E77" s="23">
        <f t="shared" si="3"/>
        <v>0.90937500000000004</v>
      </c>
      <c r="F77">
        <v>3600</v>
      </c>
    </row>
    <row r="78" spans="1:6" x14ac:dyDescent="0.35">
      <c r="A78" s="20" t="s">
        <v>76</v>
      </c>
      <c r="B78" s="22">
        <f>553.32</f>
        <v>553.32000000000005</v>
      </c>
      <c r="C78" s="22">
        <f>1000</f>
        <v>1000</v>
      </c>
      <c r="D78" s="22">
        <f t="shared" si="2"/>
        <v>-446.67999999999995</v>
      </c>
      <c r="E78" s="23">
        <f t="shared" si="3"/>
        <v>0.55332000000000003</v>
      </c>
      <c r="F78">
        <v>1000</v>
      </c>
    </row>
    <row r="79" spans="1:6" x14ac:dyDescent="0.35">
      <c r="A79" s="20" t="s">
        <v>77</v>
      </c>
      <c r="B79" s="21"/>
      <c r="C79" s="21"/>
      <c r="D79" s="22">
        <f t="shared" si="2"/>
        <v>0</v>
      </c>
      <c r="E79" s="23" t="str">
        <f t="shared" si="3"/>
        <v/>
      </c>
    </row>
    <row r="80" spans="1:6" x14ac:dyDescent="0.35">
      <c r="A80" s="20" t="s">
        <v>78</v>
      </c>
      <c r="B80" s="22">
        <f>7081.02</f>
        <v>7081.02</v>
      </c>
      <c r="C80" s="22">
        <f>5000</f>
        <v>5000</v>
      </c>
      <c r="D80" s="22">
        <f t="shared" si="2"/>
        <v>2081.0200000000004</v>
      </c>
      <c r="E80" s="23">
        <f t="shared" si="3"/>
        <v>1.416204</v>
      </c>
      <c r="F80">
        <v>7200</v>
      </c>
    </row>
    <row r="81" spans="1:6" x14ac:dyDescent="0.35">
      <c r="A81" s="20" t="s">
        <v>79</v>
      </c>
      <c r="B81" s="22">
        <f>19510</f>
        <v>19510</v>
      </c>
      <c r="C81" s="22">
        <f>17000</f>
        <v>17000</v>
      </c>
      <c r="D81" s="22">
        <f t="shared" si="2"/>
        <v>2510</v>
      </c>
      <c r="E81" s="23">
        <f t="shared" si="3"/>
        <v>1.1476470588235295</v>
      </c>
      <c r="F81">
        <v>20000</v>
      </c>
    </row>
    <row r="82" spans="1:6" x14ac:dyDescent="0.35">
      <c r="A82" s="20" t="s">
        <v>80</v>
      </c>
      <c r="B82" s="24">
        <f>((B79)+(B80))+(B81)</f>
        <v>26591.02</v>
      </c>
      <c r="C82" s="24">
        <f>((C79)+(C80))+(C81)</f>
        <v>22000</v>
      </c>
      <c r="D82" s="24">
        <f t="shared" si="2"/>
        <v>4591.0200000000004</v>
      </c>
      <c r="E82" s="25">
        <f t="shared" si="3"/>
        <v>1.2086827272727272</v>
      </c>
    </row>
    <row r="83" spans="1:6" x14ac:dyDescent="0.35">
      <c r="A83" s="20" t="s">
        <v>81</v>
      </c>
      <c r="B83" s="24">
        <f>((((((B71)+(B74))+(B75))+(B76))+(B77))+(B78))+(B82)</f>
        <v>42512.28</v>
      </c>
      <c r="C83" s="24">
        <f>((((((C71)+(C74))+(C75))+(C76))+(C77))+(C78))+(C82)</f>
        <v>39400</v>
      </c>
      <c r="D83" s="24">
        <f t="shared" si="2"/>
        <v>3112.2799999999988</v>
      </c>
      <c r="E83" s="25">
        <f t="shared" si="3"/>
        <v>1.0789918781725889</v>
      </c>
    </row>
    <row r="84" spans="1:6" x14ac:dyDescent="0.35">
      <c r="A84" s="20" t="s">
        <v>82</v>
      </c>
      <c r="B84" s="22">
        <f>454.05</f>
        <v>454.05</v>
      </c>
      <c r="C84" s="22">
        <f>5000</f>
        <v>5000</v>
      </c>
      <c r="D84" s="22">
        <f t="shared" si="2"/>
        <v>-4545.95</v>
      </c>
      <c r="E84" s="23">
        <f t="shared" si="3"/>
        <v>9.0810000000000002E-2</v>
      </c>
      <c r="F84">
        <v>2000</v>
      </c>
    </row>
    <row r="85" spans="1:6" x14ac:dyDescent="0.35">
      <c r="A85" s="20" t="s">
        <v>83</v>
      </c>
      <c r="B85" s="22">
        <f>630</f>
        <v>630</v>
      </c>
      <c r="C85" s="22">
        <f>600</f>
        <v>600</v>
      </c>
      <c r="D85" s="22">
        <f t="shared" si="2"/>
        <v>30</v>
      </c>
      <c r="E85" s="23">
        <f t="shared" si="3"/>
        <v>1.05</v>
      </c>
      <c r="F85">
        <v>650</v>
      </c>
    </row>
    <row r="86" spans="1:6" x14ac:dyDescent="0.35">
      <c r="A86" s="20" t="s">
        <v>84</v>
      </c>
      <c r="B86" s="21"/>
      <c r="C86" s="21"/>
      <c r="D86" s="22">
        <f t="shared" si="2"/>
        <v>0</v>
      </c>
      <c r="E86" s="23" t="str">
        <f t="shared" si="3"/>
        <v/>
      </c>
    </row>
    <row r="87" spans="1:6" x14ac:dyDescent="0.35">
      <c r="A87" s="20" t="s">
        <v>85</v>
      </c>
      <c r="B87" s="21"/>
      <c r="C87" s="21"/>
      <c r="D87" s="22">
        <f t="shared" si="2"/>
        <v>0</v>
      </c>
      <c r="E87" s="23" t="str">
        <f t="shared" si="3"/>
        <v/>
      </c>
    </row>
    <row r="88" spans="1:6" x14ac:dyDescent="0.35">
      <c r="A88" s="20" t="s">
        <v>86</v>
      </c>
      <c r="B88" s="21"/>
      <c r="C88" s="22">
        <f>1000</f>
        <v>1000</v>
      </c>
      <c r="D88" s="22">
        <f t="shared" si="2"/>
        <v>-1000</v>
      </c>
      <c r="E88" s="23">
        <f t="shared" si="3"/>
        <v>0</v>
      </c>
      <c r="F88">
        <v>1000</v>
      </c>
    </row>
    <row r="89" spans="1:6" x14ac:dyDescent="0.35">
      <c r="A89" s="20" t="s">
        <v>87</v>
      </c>
      <c r="B89" s="21"/>
      <c r="C89" s="22">
        <f>300</f>
        <v>300</v>
      </c>
      <c r="D89" s="22">
        <f t="shared" si="2"/>
        <v>-300</v>
      </c>
      <c r="E89" s="23">
        <f t="shared" si="3"/>
        <v>0</v>
      </c>
      <c r="F89">
        <v>300</v>
      </c>
    </row>
    <row r="90" spans="1:6" x14ac:dyDescent="0.35">
      <c r="A90" s="20" t="s">
        <v>88</v>
      </c>
      <c r="B90" s="22">
        <f>1159</f>
        <v>1159</v>
      </c>
      <c r="C90" s="22">
        <f>2000</f>
        <v>2000</v>
      </c>
      <c r="D90" s="22">
        <f t="shared" si="2"/>
        <v>-841</v>
      </c>
      <c r="E90" s="23">
        <f t="shared" si="3"/>
        <v>0.57950000000000002</v>
      </c>
      <c r="F90">
        <v>2000</v>
      </c>
    </row>
    <row r="91" spans="1:6" x14ac:dyDescent="0.35">
      <c r="A91" s="20" t="s">
        <v>89</v>
      </c>
      <c r="B91" s="22">
        <f>4950.93</f>
        <v>4950.93</v>
      </c>
      <c r="C91" s="22">
        <f>3600</f>
        <v>3600</v>
      </c>
      <c r="D91" s="22">
        <f t="shared" si="2"/>
        <v>1350.9300000000003</v>
      </c>
      <c r="E91" s="23">
        <f t="shared" si="3"/>
        <v>1.3752583333333335</v>
      </c>
      <c r="F91">
        <v>5000</v>
      </c>
    </row>
    <row r="92" spans="1:6" x14ac:dyDescent="0.35">
      <c r="A92" s="20" t="s">
        <v>90</v>
      </c>
      <c r="B92" s="22">
        <f>2600</f>
        <v>2600</v>
      </c>
      <c r="C92" s="22">
        <f>3000</f>
        <v>3000</v>
      </c>
      <c r="D92" s="22">
        <f t="shared" si="2"/>
        <v>-400</v>
      </c>
      <c r="E92" s="23">
        <f t="shared" si="3"/>
        <v>0.8666666666666667</v>
      </c>
      <c r="F92">
        <v>3000</v>
      </c>
    </row>
    <row r="93" spans="1:6" x14ac:dyDescent="0.35">
      <c r="A93" s="20" t="s">
        <v>91</v>
      </c>
      <c r="B93" s="24">
        <f>(((((B87)+(B88))+(B89))+(B90))+(B91))+(B92)</f>
        <v>8709.93</v>
      </c>
      <c r="C93" s="24">
        <f>(((((C87)+(C88))+(C89))+(C90))+(C91))+(C92)</f>
        <v>9900</v>
      </c>
      <c r="D93" s="24">
        <f t="shared" si="2"/>
        <v>-1190.0699999999997</v>
      </c>
      <c r="E93" s="25">
        <f t="shared" si="3"/>
        <v>0.87979090909090907</v>
      </c>
    </row>
    <row r="94" spans="1:6" x14ac:dyDescent="0.35">
      <c r="A94" s="20" t="s">
        <v>92</v>
      </c>
      <c r="B94" s="21"/>
      <c r="C94" s="21"/>
      <c r="D94" s="22">
        <f t="shared" si="2"/>
        <v>0</v>
      </c>
      <c r="E94" s="23" t="str">
        <f t="shared" si="3"/>
        <v/>
      </c>
    </row>
    <row r="95" spans="1:6" x14ac:dyDescent="0.35">
      <c r="A95" s="20" t="s">
        <v>93</v>
      </c>
      <c r="B95" s="21"/>
      <c r="C95" s="22">
        <f>1000</f>
        <v>1000</v>
      </c>
      <c r="D95" s="22">
        <f t="shared" si="2"/>
        <v>-1000</v>
      </c>
      <c r="E95" s="23">
        <f t="shared" si="3"/>
        <v>0</v>
      </c>
      <c r="F95">
        <v>1000</v>
      </c>
    </row>
    <row r="96" spans="1:6" x14ac:dyDescent="0.35">
      <c r="A96" s="3" t="s">
        <v>438</v>
      </c>
      <c r="B96" s="22"/>
      <c r="C96" s="22">
        <f>80</f>
        <v>80</v>
      </c>
      <c r="D96" s="22">
        <f t="shared" si="2"/>
        <v>-80</v>
      </c>
      <c r="E96" s="23">
        <f t="shared" si="3"/>
        <v>0</v>
      </c>
      <c r="F96">
        <v>0</v>
      </c>
    </row>
    <row r="97" spans="1:7" x14ac:dyDescent="0.35">
      <c r="A97" s="20" t="s">
        <v>94</v>
      </c>
      <c r="B97" s="21">
        <v>100</v>
      </c>
      <c r="C97" s="22">
        <f>260</f>
        <v>260</v>
      </c>
      <c r="D97" s="22">
        <f t="shared" si="2"/>
        <v>-160</v>
      </c>
      <c r="E97" s="23">
        <f t="shared" si="3"/>
        <v>0.38461538461538464</v>
      </c>
      <c r="F97">
        <v>400</v>
      </c>
    </row>
    <row r="98" spans="1:7" x14ac:dyDescent="0.35">
      <c r="A98" s="20" t="s">
        <v>95</v>
      </c>
      <c r="B98" s="22">
        <f>660</f>
        <v>660</v>
      </c>
      <c r="C98" s="22">
        <f>1000</f>
        <v>1000</v>
      </c>
      <c r="D98" s="22">
        <f t="shared" si="2"/>
        <v>-340</v>
      </c>
      <c r="E98" s="23">
        <f t="shared" si="3"/>
        <v>0.66</v>
      </c>
      <c r="F98">
        <v>660</v>
      </c>
    </row>
    <row r="99" spans="1:7" x14ac:dyDescent="0.35">
      <c r="A99" s="20" t="s">
        <v>96</v>
      </c>
      <c r="B99" s="24">
        <f>((B96)+(B97))+(B98)</f>
        <v>760</v>
      </c>
      <c r="C99" s="24">
        <f>((C96)+(C97))+(C98)</f>
        <v>1340</v>
      </c>
      <c r="D99" s="24">
        <f t="shared" si="2"/>
        <v>-580</v>
      </c>
      <c r="E99" s="25">
        <f t="shared" si="3"/>
        <v>0.56716417910447758</v>
      </c>
    </row>
    <row r="100" spans="1:7" x14ac:dyDescent="0.35">
      <c r="A100" s="20" t="s">
        <v>411</v>
      </c>
      <c r="B100" s="21"/>
      <c r="C100" s="22">
        <f>800</f>
        <v>800</v>
      </c>
      <c r="D100" s="22">
        <f t="shared" si="2"/>
        <v>-800</v>
      </c>
      <c r="E100" s="23">
        <f t="shared" si="3"/>
        <v>0</v>
      </c>
      <c r="F100">
        <v>2000</v>
      </c>
      <c r="G100" t="s">
        <v>441</v>
      </c>
    </row>
    <row r="101" spans="1:7" x14ac:dyDescent="0.35">
      <c r="A101" s="20" t="s">
        <v>97</v>
      </c>
      <c r="B101" s="24">
        <f>(((B94)+(B95))+(B99))+(B100)</f>
        <v>760</v>
      </c>
      <c r="C101" s="24">
        <f>(((C94)+(C95))+(C99))+(C100)</f>
        <v>3140</v>
      </c>
      <c r="D101" s="24">
        <f t="shared" si="2"/>
        <v>-2380</v>
      </c>
      <c r="E101" s="25">
        <f t="shared" si="3"/>
        <v>0.24203821656050956</v>
      </c>
    </row>
    <row r="102" spans="1:7" x14ac:dyDescent="0.35">
      <c r="A102" s="20" t="s">
        <v>98</v>
      </c>
      <c r="B102" s="24">
        <f>((B86)+(B93))+(B101)</f>
        <v>9469.93</v>
      </c>
      <c r="C102" s="24">
        <f>((C86)+(C93))+(C101)</f>
        <v>13040</v>
      </c>
      <c r="D102" s="24">
        <f t="shared" si="2"/>
        <v>-3570.0699999999997</v>
      </c>
      <c r="E102" s="25">
        <f t="shared" si="3"/>
        <v>0.72622162576687121</v>
      </c>
    </row>
    <row r="103" spans="1:7" x14ac:dyDescent="0.35">
      <c r="A103" s="20" t="s">
        <v>99</v>
      </c>
      <c r="B103" s="21"/>
      <c r="C103" s="21"/>
      <c r="D103" s="22">
        <f t="shared" si="2"/>
        <v>0</v>
      </c>
      <c r="E103" s="23" t="str">
        <f t="shared" si="3"/>
        <v/>
      </c>
    </row>
    <row r="104" spans="1:7" x14ac:dyDescent="0.35">
      <c r="A104" s="20" t="s">
        <v>100</v>
      </c>
      <c r="B104" s="21"/>
      <c r="C104" s="21"/>
      <c r="D104" s="22">
        <f t="shared" si="2"/>
        <v>0</v>
      </c>
      <c r="E104" s="23" t="str">
        <f t="shared" si="3"/>
        <v/>
      </c>
    </row>
    <row r="105" spans="1:7" x14ac:dyDescent="0.35">
      <c r="A105" s="20" t="s">
        <v>101</v>
      </c>
      <c r="B105" s="22">
        <f>2105</f>
        <v>2105</v>
      </c>
      <c r="C105" s="22">
        <f>2000</f>
        <v>2000</v>
      </c>
      <c r="D105" s="22">
        <f t="shared" si="2"/>
        <v>105</v>
      </c>
      <c r="E105" s="23">
        <f t="shared" si="3"/>
        <v>1.0525</v>
      </c>
      <c r="F105">
        <v>2500</v>
      </c>
    </row>
    <row r="106" spans="1:7" x14ac:dyDescent="0.35">
      <c r="A106" s="20" t="s">
        <v>102</v>
      </c>
      <c r="B106" s="22">
        <f>1247.09</f>
        <v>1247.0899999999999</v>
      </c>
      <c r="C106" s="22">
        <f>2500</f>
        <v>2500</v>
      </c>
      <c r="D106" s="22">
        <f t="shared" si="2"/>
        <v>-1252.9100000000001</v>
      </c>
      <c r="E106" s="23">
        <f t="shared" si="3"/>
        <v>0.49883599999999995</v>
      </c>
      <c r="F106">
        <v>2500</v>
      </c>
    </row>
    <row r="107" spans="1:7" x14ac:dyDescent="0.35">
      <c r="A107" s="20" t="s">
        <v>103</v>
      </c>
      <c r="B107" s="22">
        <f>543.2</f>
        <v>543.20000000000005</v>
      </c>
      <c r="C107" s="22">
        <f>3500</f>
        <v>3500</v>
      </c>
      <c r="D107" s="22">
        <f t="shared" si="2"/>
        <v>-2956.8</v>
      </c>
      <c r="E107" s="23">
        <f t="shared" si="3"/>
        <v>0.1552</v>
      </c>
      <c r="F107">
        <v>2500</v>
      </c>
    </row>
    <row r="108" spans="1:7" x14ac:dyDescent="0.35">
      <c r="A108" s="20" t="s">
        <v>104</v>
      </c>
      <c r="B108" s="24">
        <f>(((B104)+(B105))+(B106))+(B107)</f>
        <v>3895.29</v>
      </c>
      <c r="C108" s="24">
        <f>(((C104)+(C105))+(C106))+(C107)</f>
        <v>8000</v>
      </c>
      <c r="D108" s="24">
        <f t="shared" si="2"/>
        <v>-4104.71</v>
      </c>
      <c r="E108" s="25">
        <f t="shared" si="3"/>
        <v>0.48691125000000002</v>
      </c>
    </row>
    <row r="109" spans="1:7" x14ac:dyDescent="0.35">
      <c r="A109" s="20" t="s">
        <v>105</v>
      </c>
      <c r="B109" s="22">
        <f>849.38</f>
        <v>849.38</v>
      </c>
      <c r="C109" s="22">
        <f>3000</f>
        <v>3000</v>
      </c>
      <c r="D109" s="22">
        <f t="shared" si="2"/>
        <v>-2150.62</v>
      </c>
      <c r="E109" s="23">
        <f t="shared" si="3"/>
        <v>0.28312666666666664</v>
      </c>
      <c r="F109">
        <v>2000</v>
      </c>
    </row>
    <row r="110" spans="1:7" x14ac:dyDescent="0.35">
      <c r="A110" s="20" t="s">
        <v>106</v>
      </c>
      <c r="B110" s="22">
        <f>1379.5</f>
        <v>1379.5</v>
      </c>
      <c r="C110" s="22">
        <f>3000</f>
        <v>3000</v>
      </c>
      <c r="D110" s="22">
        <f t="shared" si="2"/>
        <v>-1620.5</v>
      </c>
      <c r="E110" s="23">
        <f t="shared" si="3"/>
        <v>0.45983333333333332</v>
      </c>
      <c r="F110">
        <v>3000</v>
      </c>
    </row>
    <row r="111" spans="1:7" x14ac:dyDescent="0.35">
      <c r="A111" s="20" t="s">
        <v>107</v>
      </c>
      <c r="B111" s="22">
        <f>562.2</f>
        <v>562.20000000000005</v>
      </c>
      <c r="C111" s="22">
        <f>800</f>
        <v>800</v>
      </c>
      <c r="D111" s="22">
        <f t="shared" si="2"/>
        <v>-237.79999999999995</v>
      </c>
      <c r="E111" s="23">
        <f t="shared" si="3"/>
        <v>0.7027500000000001</v>
      </c>
      <c r="F111">
        <v>1000</v>
      </c>
    </row>
    <row r="112" spans="1:7" x14ac:dyDescent="0.35">
      <c r="A112" s="20" t="s">
        <v>108</v>
      </c>
      <c r="B112" s="21"/>
      <c r="C112" s="21"/>
      <c r="D112" s="22">
        <f t="shared" si="2"/>
        <v>0</v>
      </c>
      <c r="E112" s="23" t="str">
        <f t="shared" si="3"/>
        <v/>
      </c>
    </row>
    <row r="113" spans="1:7" x14ac:dyDescent="0.35">
      <c r="A113" s="20" t="s">
        <v>109</v>
      </c>
      <c r="B113" s="21"/>
      <c r="C113" s="22">
        <f>800</f>
        <v>800</v>
      </c>
      <c r="D113" s="22">
        <f t="shared" si="2"/>
        <v>-800</v>
      </c>
      <c r="E113" s="23">
        <f t="shared" si="3"/>
        <v>0</v>
      </c>
      <c r="F113">
        <v>800</v>
      </c>
    </row>
    <row r="114" spans="1:7" x14ac:dyDescent="0.35">
      <c r="A114" s="20" t="s">
        <v>110</v>
      </c>
      <c r="B114" s="22">
        <f>1948.85</f>
        <v>1948.85</v>
      </c>
      <c r="C114" s="22">
        <f>2500</f>
        <v>2500</v>
      </c>
      <c r="D114" s="22">
        <f t="shared" si="2"/>
        <v>-551.15000000000009</v>
      </c>
      <c r="E114" s="23">
        <f t="shared" si="3"/>
        <v>0.77954000000000001</v>
      </c>
      <c r="F114">
        <v>2000</v>
      </c>
    </row>
    <row r="115" spans="1:7" x14ac:dyDescent="0.35">
      <c r="A115" s="20" t="s">
        <v>111</v>
      </c>
      <c r="B115" s="21"/>
      <c r="C115" s="22">
        <f>100</f>
        <v>100</v>
      </c>
      <c r="D115" s="22">
        <f t="shared" si="2"/>
        <v>-100</v>
      </c>
      <c r="E115" s="23">
        <f t="shared" si="3"/>
        <v>0</v>
      </c>
      <c r="F115">
        <v>100</v>
      </c>
    </row>
    <row r="116" spans="1:7" x14ac:dyDescent="0.35">
      <c r="A116" s="20" t="s">
        <v>112</v>
      </c>
      <c r="B116" s="24">
        <f>(((B112)+(B113))+(B114))+(B115)</f>
        <v>1948.85</v>
      </c>
      <c r="C116" s="24">
        <f>(((C112)+(C113))+(C114))+(C115)</f>
        <v>3400</v>
      </c>
      <c r="D116" s="24">
        <f t="shared" si="2"/>
        <v>-1451.15</v>
      </c>
      <c r="E116" s="25">
        <f t="shared" si="3"/>
        <v>0.57319117647058826</v>
      </c>
    </row>
    <row r="117" spans="1:7" x14ac:dyDescent="0.35">
      <c r="A117" s="20" t="s">
        <v>113</v>
      </c>
      <c r="B117" s="24">
        <f>(((((B103)+(B108))+(B109))+(B110))+(B111))+(B116)</f>
        <v>8635.2199999999993</v>
      </c>
      <c r="C117" s="24">
        <f>(((((C103)+(C108))+(C109))+(C110))+(C111))+(C116)</f>
        <v>18200</v>
      </c>
      <c r="D117" s="24">
        <f t="shared" si="2"/>
        <v>-9564.7800000000007</v>
      </c>
      <c r="E117" s="25">
        <f t="shared" si="3"/>
        <v>0.47446263736263733</v>
      </c>
    </row>
    <row r="118" spans="1:7" x14ac:dyDescent="0.35">
      <c r="A118" s="20" t="s">
        <v>114</v>
      </c>
      <c r="B118" s="22">
        <f>2027.76</f>
        <v>2027.76</v>
      </c>
      <c r="C118" s="22">
        <f>5000</f>
        <v>5000</v>
      </c>
      <c r="D118" s="22">
        <f t="shared" si="2"/>
        <v>-2972.24</v>
      </c>
      <c r="E118" s="23">
        <f t="shared" si="3"/>
        <v>0.40555200000000002</v>
      </c>
      <c r="F118">
        <v>5000</v>
      </c>
    </row>
    <row r="119" spans="1:7" x14ac:dyDescent="0.35">
      <c r="A119" s="20" t="s">
        <v>115</v>
      </c>
      <c r="B119" s="22">
        <f>21539.81</f>
        <v>21539.81</v>
      </c>
      <c r="C119" s="22">
        <f>10000</f>
        <v>10000</v>
      </c>
      <c r="D119" s="22">
        <f t="shared" si="2"/>
        <v>11539.810000000001</v>
      </c>
      <c r="E119" s="23">
        <f t="shared" si="3"/>
        <v>2.1539809999999999</v>
      </c>
      <c r="F119">
        <v>10000</v>
      </c>
    </row>
    <row r="120" spans="1:7" x14ac:dyDescent="0.35">
      <c r="A120" s="20" t="s">
        <v>116</v>
      </c>
      <c r="B120" s="24">
        <f>(B118)+(B119)</f>
        <v>23567.57</v>
      </c>
      <c r="C120" s="24">
        <f>(C118)+(C119)</f>
        <v>15000</v>
      </c>
      <c r="D120" s="24">
        <f t="shared" si="2"/>
        <v>8567.57</v>
      </c>
      <c r="E120" s="25">
        <f t="shared" si="3"/>
        <v>1.5711713333333333</v>
      </c>
    </row>
    <row r="121" spans="1:7" x14ac:dyDescent="0.35">
      <c r="A121" s="20" t="s">
        <v>117</v>
      </c>
      <c r="B121" s="21"/>
      <c r="C121" s="21"/>
      <c r="D121" s="22">
        <f t="shared" si="2"/>
        <v>0</v>
      </c>
      <c r="E121" s="23" t="str">
        <f t="shared" si="3"/>
        <v/>
      </c>
    </row>
    <row r="122" spans="1:7" x14ac:dyDescent="0.35">
      <c r="A122" s="20" t="s">
        <v>118</v>
      </c>
      <c r="B122" s="22">
        <f>743.15</f>
        <v>743.15</v>
      </c>
      <c r="C122" s="22">
        <f>1200</f>
        <v>1200</v>
      </c>
      <c r="D122" s="22">
        <f t="shared" si="2"/>
        <v>-456.85</v>
      </c>
      <c r="E122" s="23">
        <f t="shared" si="3"/>
        <v>0.61929166666666668</v>
      </c>
      <c r="F122">
        <v>1200</v>
      </c>
    </row>
    <row r="123" spans="1:7" x14ac:dyDescent="0.35">
      <c r="A123" s="20" t="s">
        <v>119</v>
      </c>
      <c r="B123" s="21"/>
      <c r="C123" s="22">
        <f>1000</f>
        <v>1000</v>
      </c>
      <c r="D123" s="22">
        <f t="shared" si="2"/>
        <v>-1000</v>
      </c>
      <c r="E123" s="23">
        <f t="shared" si="3"/>
        <v>0</v>
      </c>
      <c r="F123">
        <v>1000</v>
      </c>
    </row>
    <row r="124" spans="1:7" x14ac:dyDescent="0.35">
      <c r="A124" s="20" t="s">
        <v>120</v>
      </c>
      <c r="B124" s="24">
        <f>((B121)+(B122))+(B123)</f>
        <v>743.15</v>
      </c>
      <c r="C124" s="24">
        <f>((C121)+(C122))+(C123)</f>
        <v>2200</v>
      </c>
      <c r="D124" s="24">
        <f t="shared" si="2"/>
        <v>-1456.85</v>
      </c>
      <c r="E124" s="25">
        <f t="shared" si="3"/>
        <v>0.33779545454545451</v>
      </c>
    </row>
    <row r="125" spans="1:7" x14ac:dyDescent="0.35">
      <c r="A125" s="20" t="s">
        <v>121</v>
      </c>
      <c r="B125" s="21"/>
      <c r="C125" s="21"/>
      <c r="D125" s="22">
        <f t="shared" si="2"/>
        <v>0</v>
      </c>
      <c r="E125" s="23" t="str">
        <f t="shared" si="3"/>
        <v/>
      </c>
    </row>
    <row r="126" spans="1:7" x14ac:dyDescent="0.35">
      <c r="A126" s="20" t="s">
        <v>122</v>
      </c>
      <c r="B126" s="22">
        <f>2267.18</f>
        <v>2267.1799999999998</v>
      </c>
      <c r="C126" s="22">
        <f>2600</f>
        <v>2600</v>
      </c>
      <c r="D126" s="22">
        <f t="shared" si="2"/>
        <v>-332.82000000000016</v>
      </c>
      <c r="E126" s="23">
        <f t="shared" si="3"/>
        <v>0.87199230769230762</v>
      </c>
      <c r="F126">
        <v>2800</v>
      </c>
    </row>
    <row r="127" spans="1:7" x14ac:dyDescent="0.35">
      <c r="A127" s="20" t="s">
        <v>123</v>
      </c>
      <c r="B127" s="22">
        <f>29348.71</f>
        <v>29348.71</v>
      </c>
      <c r="C127" s="22">
        <f>33225</f>
        <v>33225</v>
      </c>
      <c r="D127" s="22">
        <f t="shared" si="2"/>
        <v>-3876.2900000000009</v>
      </c>
      <c r="E127" s="23">
        <f t="shared" si="3"/>
        <v>0.88333212942061701</v>
      </c>
      <c r="F127">
        <v>34386.25</v>
      </c>
      <c r="G127" t="s">
        <v>439</v>
      </c>
    </row>
    <row r="128" spans="1:7" x14ac:dyDescent="0.35">
      <c r="A128" s="20" t="s">
        <v>124</v>
      </c>
      <c r="B128" s="22">
        <f>6180</f>
        <v>6180</v>
      </c>
      <c r="C128" s="22">
        <f>8400</f>
        <v>8400</v>
      </c>
      <c r="D128" s="22">
        <f t="shared" si="2"/>
        <v>-2220</v>
      </c>
      <c r="E128" s="23">
        <f t="shared" si="3"/>
        <v>0.73571428571428577</v>
      </c>
      <c r="F128">
        <v>8000</v>
      </c>
    </row>
    <row r="129" spans="1:6" x14ac:dyDescent="0.35">
      <c r="A129" s="20" t="s">
        <v>125</v>
      </c>
      <c r="B129" s="24">
        <f>(B127)+(B128)</f>
        <v>35528.71</v>
      </c>
      <c r="C129" s="24">
        <f>(C127)+(C128)</f>
        <v>41625</v>
      </c>
      <c r="D129" s="24">
        <f t="shared" si="2"/>
        <v>-6096.2900000000009</v>
      </c>
      <c r="E129" s="25">
        <f t="shared" si="3"/>
        <v>0.85354258258258253</v>
      </c>
    </row>
    <row r="130" spans="1:6" x14ac:dyDescent="0.35">
      <c r="A130" s="20" t="s">
        <v>126</v>
      </c>
      <c r="B130" s="24">
        <f>((B125)+(B126))+(B129)</f>
        <v>37795.89</v>
      </c>
      <c r="C130" s="24">
        <f>((C125)+(C126))+(C129)</f>
        <v>44225</v>
      </c>
      <c r="D130" s="24">
        <f t="shared" si="2"/>
        <v>-6429.1100000000006</v>
      </c>
      <c r="E130" s="25">
        <f t="shared" si="3"/>
        <v>0.85462724703222159</v>
      </c>
    </row>
    <row r="131" spans="1:6" x14ac:dyDescent="0.35">
      <c r="A131" s="20" t="s">
        <v>127</v>
      </c>
      <c r="B131" s="21"/>
      <c r="C131" s="21"/>
      <c r="D131" s="22">
        <f t="shared" si="2"/>
        <v>0</v>
      </c>
      <c r="E131" s="23" t="str">
        <f t="shared" si="3"/>
        <v/>
      </c>
    </row>
    <row r="132" spans="1:6" x14ac:dyDescent="0.35">
      <c r="A132" s="20" t="s">
        <v>128</v>
      </c>
      <c r="B132" s="21"/>
      <c r="C132" s="21"/>
      <c r="D132" s="22">
        <f t="shared" si="2"/>
        <v>0</v>
      </c>
      <c r="E132" s="23" t="str">
        <f t="shared" si="3"/>
        <v/>
      </c>
    </row>
    <row r="133" spans="1:6" x14ac:dyDescent="0.35">
      <c r="A133" s="20" t="s">
        <v>129</v>
      </c>
      <c r="B133" s="21"/>
      <c r="C133" s="21"/>
      <c r="D133" s="22">
        <f t="shared" si="2"/>
        <v>0</v>
      </c>
      <c r="E133" s="23" t="str">
        <f t="shared" si="3"/>
        <v/>
      </c>
    </row>
    <row r="134" spans="1:6" x14ac:dyDescent="0.35">
      <c r="A134" s="20" t="s">
        <v>130</v>
      </c>
      <c r="B134" s="22">
        <f>915</f>
        <v>915</v>
      </c>
      <c r="C134" s="22">
        <f>1000</f>
        <v>1000</v>
      </c>
      <c r="D134" s="22">
        <f t="shared" si="2"/>
        <v>-85</v>
      </c>
      <c r="E134" s="23">
        <f t="shared" si="3"/>
        <v>0.91500000000000004</v>
      </c>
      <c r="F134">
        <v>1000</v>
      </c>
    </row>
    <row r="135" spans="1:6" x14ac:dyDescent="0.35">
      <c r="A135" s="20" t="s">
        <v>131</v>
      </c>
      <c r="B135" s="22">
        <f>1167.33</f>
        <v>1167.33</v>
      </c>
      <c r="C135" s="22">
        <f>1500</f>
        <v>1500</v>
      </c>
      <c r="D135" s="22">
        <f t="shared" ref="D135:D198" si="4">(B135)-(C135)</f>
        <v>-332.67000000000007</v>
      </c>
      <c r="E135" s="23">
        <f t="shared" ref="E135:E198" si="5">IF(C135=0,"",(B135)/(C135))</f>
        <v>0.77821999999999991</v>
      </c>
      <c r="F135">
        <v>1400</v>
      </c>
    </row>
    <row r="136" spans="1:6" x14ac:dyDescent="0.35">
      <c r="A136" s="20" t="s">
        <v>132</v>
      </c>
      <c r="B136" s="22">
        <f>1128</f>
        <v>1128</v>
      </c>
      <c r="C136" s="22">
        <f>1800</f>
        <v>1800</v>
      </c>
      <c r="D136" s="22">
        <f t="shared" si="4"/>
        <v>-672</v>
      </c>
      <c r="E136" s="23">
        <f t="shared" si="5"/>
        <v>0.62666666666666671</v>
      </c>
      <c r="F136">
        <v>1500</v>
      </c>
    </row>
    <row r="137" spans="1:6" x14ac:dyDescent="0.35">
      <c r="A137" s="20" t="s">
        <v>133</v>
      </c>
      <c r="B137" s="22">
        <f>3500</f>
        <v>3500</v>
      </c>
      <c r="C137" s="22">
        <f>3500</f>
        <v>3500</v>
      </c>
      <c r="D137" s="22">
        <f t="shared" si="4"/>
        <v>0</v>
      </c>
      <c r="E137" s="23">
        <f t="shared" si="5"/>
        <v>1</v>
      </c>
      <c r="F137">
        <v>3500</v>
      </c>
    </row>
    <row r="138" spans="1:6" x14ac:dyDescent="0.35">
      <c r="A138" s="20" t="s">
        <v>134</v>
      </c>
      <c r="B138" s="22">
        <f>3000</f>
        <v>3000</v>
      </c>
      <c r="C138" s="22">
        <f>3800</f>
        <v>3800</v>
      </c>
      <c r="D138" s="22">
        <f t="shared" si="4"/>
        <v>-800</v>
      </c>
      <c r="E138" s="23">
        <f t="shared" si="5"/>
        <v>0.78947368421052633</v>
      </c>
      <c r="F138">
        <v>3800</v>
      </c>
    </row>
    <row r="139" spans="1:6" x14ac:dyDescent="0.35">
      <c r="A139" s="20" t="s">
        <v>135</v>
      </c>
      <c r="B139" s="22">
        <f>560</f>
        <v>560</v>
      </c>
      <c r="C139" s="22">
        <f>500</f>
        <v>500</v>
      </c>
      <c r="D139" s="22">
        <f t="shared" si="4"/>
        <v>60</v>
      </c>
      <c r="E139" s="23">
        <f t="shared" si="5"/>
        <v>1.1200000000000001</v>
      </c>
      <c r="F139">
        <v>600</v>
      </c>
    </row>
    <row r="140" spans="1:6" x14ac:dyDescent="0.35">
      <c r="A140" s="20" t="s">
        <v>136</v>
      </c>
      <c r="B140" s="22">
        <f>681.36</f>
        <v>681.36</v>
      </c>
      <c r="C140" s="22">
        <f>500</f>
        <v>500</v>
      </c>
      <c r="D140" s="22">
        <f t="shared" si="4"/>
        <v>181.36</v>
      </c>
      <c r="E140" s="23">
        <f t="shared" si="5"/>
        <v>1.3627199999999999</v>
      </c>
      <c r="F140">
        <v>700</v>
      </c>
    </row>
    <row r="141" spans="1:6" x14ac:dyDescent="0.35">
      <c r="A141" s="20" t="s">
        <v>137</v>
      </c>
      <c r="B141" s="22">
        <f>520</f>
        <v>520</v>
      </c>
      <c r="C141" s="22">
        <f>1200</f>
        <v>1200</v>
      </c>
      <c r="D141" s="22">
        <f t="shared" si="4"/>
        <v>-680</v>
      </c>
      <c r="E141" s="23">
        <f t="shared" si="5"/>
        <v>0.43333333333333335</v>
      </c>
      <c r="F141">
        <v>700</v>
      </c>
    </row>
    <row r="142" spans="1:6" x14ac:dyDescent="0.35">
      <c r="A142" s="20" t="s">
        <v>138</v>
      </c>
      <c r="B142" s="22">
        <f>2400</f>
        <v>2400</v>
      </c>
      <c r="C142" s="22">
        <f>3200</f>
        <v>3200</v>
      </c>
      <c r="D142" s="22">
        <f t="shared" si="4"/>
        <v>-800</v>
      </c>
      <c r="E142" s="23">
        <f t="shared" si="5"/>
        <v>0.75</v>
      </c>
      <c r="F142">
        <v>2600</v>
      </c>
    </row>
    <row r="143" spans="1:6" x14ac:dyDescent="0.35">
      <c r="A143" s="20" t="s">
        <v>139</v>
      </c>
      <c r="B143" s="24">
        <f>(((((((((B133)+(B134))+(B135))+(B136))+(B137))+(B138))+(B139))+(B140))+(B141))+(B142)</f>
        <v>13871.69</v>
      </c>
      <c r="C143" s="24">
        <f>(((((((((C133)+(C134))+(C135))+(C136))+(C137))+(C138))+(C139))+(C140))+(C141))+(C142)</f>
        <v>17000</v>
      </c>
      <c r="D143" s="24">
        <f t="shared" si="4"/>
        <v>-3128.3099999999995</v>
      </c>
      <c r="E143" s="25">
        <f t="shared" si="5"/>
        <v>0.81598176470588235</v>
      </c>
    </row>
    <row r="144" spans="1:6" x14ac:dyDescent="0.35">
      <c r="A144" s="20" t="s">
        <v>140</v>
      </c>
      <c r="B144" s="21"/>
      <c r="C144" s="21"/>
      <c r="D144" s="22">
        <f t="shared" si="4"/>
        <v>0</v>
      </c>
      <c r="E144" s="23" t="str">
        <f t="shared" si="5"/>
        <v/>
      </c>
    </row>
    <row r="145" spans="1:7" x14ac:dyDescent="0.35">
      <c r="A145" s="20" t="s">
        <v>141</v>
      </c>
      <c r="B145" s="22">
        <f>5928</f>
        <v>5928</v>
      </c>
      <c r="C145" s="22">
        <f>7500</f>
        <v>7500</v>
      </c>
      <c r="D145" s="22">
        <f t="shared" si="4"/>
        <v>-1572</v>
      </c>
      <c r="E145" s="23">
        <f t="shared" si="5"/>
        <v>0.79039999999999999</v>
      </c>
      <c r="F145">
        <v>6500</v>
      </c>
    </row>
    <row r="146" spans="1:7" x14ac:dyDescent="0.35">
      <c r="A146" s="20" t="s">
        <v>142</v>
      </c>
      <c r="B146" s="22">
        <f>8192</f>
        <v>8192</v>
      </c>
      <c r="C146" s="21"/>
      <c r="D146" s="22">
        <f t="shared" si="4"/>
        <v>8192</v>
      </c>
      <c r="E146" s="23" t="str">
        <f t="shared" si="5"/>
        <v/>
      </c>
      <c r="F146">
        <v>8500</v>
      </c>
    </row>
    <row r="147" spans="1:7" x14ac:dyDescent="0.35">
      <c r="A147" s="20" t="s">
        <v>143</v>
      </c>
      <c r="B147" s="22">
        <f>4788.48</f>
        <v>4788.4799999999996</v>
      </c>
      <c r="C147" s="22">
        <f>5500</f>
        <v>5500</v>
      </c>
      <c r="D147" s="22">
        <f t="shared" si="4"/>
        <v>-711.52000000000044</v>
      </c>
      <c r="E147" s="23">
        <f t="shared" si="5"/>
        <v>0.87063272727272722</v>
      </c>
      <c r="F147">
        <v>5000</v>
      </c>
    </row>
    <row r="148" spans="1:7" x14ac:dyDescent="0.35">
      <c r="A148" s="20" t="s">
        <v>144</v>
      </c>
      <c r="B148" s="22">
        <f>10641.92</f>
        <v>10641.92</v>
      </c>
      <c r="C148" s="22">
        <f>9000</f>
        <v>9000</v>
      </c>
      <c r="D148" s="22">
        <f t="shared" si="4"/>
        <v>1641.92</v>
      </c>
      <c r="E148" s="23">
        <f t="shared" si="5"/>
        <v>1.1824355555555555</v>
      </c>
      <c r="F148">
        <v>12000</v>
      </c>
    </row>
    <row r="149" spans="1:7" x14ac:dyDescent="0.35">
      <c r="A149" s="20" t="s">
        <v>145</v>
      </c>
      <c r="B149" s="22">
        <f>20945.73</f>
        <v>20945.73</v>
      </c>
      <c r="C149" s="22">
        <f>22000</f>
        <v>22000</v>
      </c>
      <c r="D149" s="22">
        <f t="shared" si="4"/>
        <v>-1054.2700000000004</v>
      </c>
      <c r="E149" s="23">
        <f t="shared" si="5"/>
        <v>0.95207863636363632</v>
      </c>
      <c r="F149" s="58">
        <v>22000</v>
      </c>
    </row>
    <row r="150" spans="1:7" x14ac:dyDescent="0.35">
      <c r="A150" s="20" t="s">
        <v>146</v>
      </c>
      <c r="B150" s="22">
        <f>12500</f>
        <v>12500</v>
      </c>
      <c r="C150" s="22">
        <f>14000</f>
        <v>14000</v>
      </c>
      <c r="D150" s="22">
        <f t="shared" si="4"/>
        <v>-1500</v>
      </c>
      <c r="E150" s="23">
        <f t="shared" si="5"/>
        <v>0.8928571428571429</v>
      </c>
      <c r="F150">
        <v>14000</v>
      </c>
    </row>
    <row r="151" spans="1:7" x14ac:dyDescent="0.35">
      <c r="A151" s="20" t="s">
        <v>147</v>
      </c>
      <c r="B151" s="22">
        <f>2280</f>
        <v>2280</v>
      </c>
      <c r="C151" s="22">
        <f>2500</f>
        <v>2500</v>
      </c>
      <c r="D151" s="22">
        <f t="shared" si="4"/>
        <v>-220</v>
      </c>
      <c r="E151" s="23">
        <f t="shared" si="5"/>
        <v>0.91200000000000003</v>
      </c>
      <c r="F151">
        <v>4000</v>
      </c>
    </row>
    <row r="152" spans="1:7" x14ac:dyDescent="0.35">
      <c r="A152" s="20" t="s">
        <v>148</v>
      </c>
      <c r="B152" s="22">
        <f>10874.67</f>
        <v>10874.67</v>
      </c>
      <c r="C152" s="22">
        <f>8500</f>
        <v>8500</v>
      </c>
      <c r="D152" s="22">
        <f t="shared" si="4"/>
        <v>2374.67</v>
      </c>
      <c r="E152" s="23">
        <f t="shared" si="5"/>
        <v>1.2793729411764705</v>
      </c>
      <c r="F152">
        <v>12000</v>
      </c>
    </row>
    <row r="153" spans="1:7" x14ac:dyDescent="0.35">
      <c r="A153" s="20" t="s">
        <v>149</v>
      </c>
      <c r="B153" s="22">
        <f>4050</f>
        <v>4050</v>
      </c>
      <c r="C153" s="22">
        <f>4000</f>
        <v>4000</v>
      </c>
      <c r="D153" s="22">
        <f t="shared" si="4"/>
        <v>50</v>
      </c>
      <c r="E153" s="23">
        <f t="shared" si="5"/>
        <v>1.0125</v>
      </c>
      <c r="F153">
        <v>4200</v>
      </c>
    </row>
    <row r="154" spans="1:7" x14ac:dyDescent="0.35">
      <c r="A154" s="20" t="s">
        <v>150</v>
      </c>
      <c r="B154" s="22">
        <f>13560</f>
        <v>13560</v>
      </c>
      <c r="C154" s="22">
        <f>12000</f>
        <v>12000</v>
      </c>
      <c r="D154" s="22">
        <f t="shared" si="4"/>
        <v>1560</v>
      </c>
      <c r="E154" s="23">
        <f t="shared" si="5"/>
        <v>1.1299999999999999</v>
      </c>
      <c r="F154">
        <v>14000</v>
      </c>
    </row>
    <row r="155" spans="1:7" x14ac:dyDescent="0.35">
      <c r="A155" s="20" t="s">
        <v>151</v>
      </c>
      <c r="B155" s="24">
        <f>((((((((((B144)+(B145))+(B146))+(B147))+(B148))+(B149))+(B150))+(B151))+(B152))+(B153))+(B154)</f>
        <v>93760.8</v>
      </c>
      <c r="C155" s="24">
        <f>((((((((((C144)+(C145))+(C146))+(C147))+(C148))+(C149))+(C150))+(C151))+(C152))+(C153))+(C154)</f>
        <v>85000</v>
      </c>
      <c r="D155" s="24">
        <f t="shared" si="4"/>
        <v>8760.8000000000029</v>
      </c>
      <c r="E155" s="25">
        <f t="shared" si="5"/>
        <v>1.1030682352941177</v>
      </c>
    </row>
    <row r="156" spans="1:7" x14ac:dyDescent="0.35">
      <c r="A156" s="20" t="s">
        <v>152</v>
      </c>
      <c r="B156" s="21"/>
      <c r="C156" s="21"/>
      <c r="D156" s="22">
        <f t="shared" si="4"/>
        <v>0</v>
      </c>
      <c r="E156" s="23" t="str">
        <f t="shared" si="5"/>
        <v/>
      </c>
    </row>
    <row r="157" spans="1:7" x14ac:dyDescent="0.35">
      <c r="A157" s="20" t="s">
        <v>153</v>
      </c>
      <c r="B157" s="22">
        <f>9035.15</f>
        <v>9035.15</v>
      </c>
      <c r="C157" s="22">
        <f>16000</f>
        <v>16000</v>
      </c>
      <c r="D157" s="22">
        <f t="shared" si="4"/>
        <v>-6964.85</v>
      </c>
      <c r="E157" s="23">
        <f t="shared" si="5"/>
        <v>0.56469687499999999</v>
      </c>
      <c r="F157">
        <v>10000</v>
      </c>
    </row>
    <row r="158" spans="1:7" x14ac:dyDescent="0.35">
      <c r="A158" s="20" t="s">
        <v>154</v>
      </c>
      <c r="B158" s="22">
        <f>4220.51</f>
        <v>4220.51</v>
      </c>
      <c r="C158" s="22">
        <f>4000</f>
        <v>4000</v>
      </c>
      <c r="D158" s="22">
        <f t="shared" si="4"/>
        <v>220.51000000000022</v>
      </c>
      <c r="E158" s="23">
        <f t="shared" si="5"/>
        <v>1.0551275</v>
      </c>
      <c r="F158">
        <v>4500</v>
      </c>
    </row>
    <row r="159" spans="1:7" x14ac:dyDescent="0.35">
      <c r="A159" s="20" t="s">
        <v>155</v>
      </c>
      <c r="B159" s="22">
        <f>11347.24</f>
        <v>11347.24</v>
      </c>
      <c r="C159" s="22">
        <f>6000</f>
        <v>6000</v>
      </c>
      <c r="D159" s="22">
        <f t="shared" si="4"/>
        <v>5347.24</v>
      </c>
      <c r="E159" s="23">
        <f t="shared" si="5"/>
        <v>1.8912066666666667</v>
      </c>
      <c r="F159">
        <v>8000</v>
      </c>
      <c r="G159" t="s">
        <v>449</v>
      </c>
    </row>
    <row r="160" spans="1:7" x14ac:dyDescent="0.35">
      <c r="A160" s="20" t="s">
        <v>156</v>
      </c>
      <c r="B160" s="22">
        <f>6800</f>
        <v>6800</v>
      </c>
      <c r="C160" s="22">
        <f>6700</f>
        <v>6700</v>
      </c>
      <c r="D160" s="22">
        <f t="shared" si="4"/>
        <v>100</v>
      </c>
      <c r="E160" s="23">
        <f t="shared" si="5"/>
        <v>1.0149253731343284</v>
      </c>
      <c r="F160">
        <v>6800</v>
      </c>
    </row>
    <row r="161" spans="1:6" x14ac:dyDescent="0.35">
      <c r="A161" s="20" t="s">
        <v>157</v>
      </c>
      <c r="B161" s="22">
        <f>7400</f>
        <v>7400</v>
      </c>
      <c r="C161" s="22">
        <f>4500</f>
        <v>4500</v>
      </c>
      <c r="D161" s="22">
        <f t="shared" si="4"/>
        <v>2900</v>
      </c>
      <c r="E161" s="23">
        <f t="shared" si="5"/>
        <v>1.6444444444444444</v>
      </c>
      <c r="F161" s="59">
        <v>7400</v>
      </c>
    </row>
    <row r="162" spans="1:6" x14ac:dyDescent="0.35">
      <c r="A162" s="20" t="s">
        <v>158</v>
      </c>
      <c r="B162" s="22">
        <f>1560</f>
        <v>1560</v>
      </c>
      <c r="C162" s="22">
        <f>1800</f>
        <v>1800</v>
      </c>
      <c r="D162" s="22">
        <f t="shared" si="4"/>
        <v>-240</v>
      </c>
      <c r="E162" s="23">
        <f t="shared" si="5"/>
        <v>0.8666666666666667</v>
      </c>
      <c r="F162">
        <v>3000</v>
      </c>
    </row>
    <row r="163" spans="1:6" x14ac:dyDescent="0.35">
      <c r="A163" s="20" t="s">
        <v>159</v>
      </c>
      <c r="B163" s="22">
        <f>4797.26</f>
        <v>4797.26</v>
      </c>
      <c r="C163" s="22">
        <f>5500</f>
        <v>5500</v>
      </c>
      <c r="D163" s="22">
        <f t="shared" si="4"/>
        <v>-702.73999999999978</v>
      </c>
      <c r="E163" s="23">
        <f t="shared" si="5"/>
        <v>0.87222909090909095</v>
      </c>
      <c r="F163">
        <v>5000</v>
      </c>
    </row>
    <row r="164" spans="1:6" x14ac:dyDescent="0.35">
      <c r="A164" s="20" t="s">
        <v>160</v>
      </c>
      <c r="B164" s="22">
        <f>2888</f>
        <v>2888</v>
      </c>
      <c r="C164" s="22">
        <f>2200</f>
        <v>2200</v>
      </c>
      <c r="D164" s="22">
        <f t="shared" si="4"/>
        <v>688</v>
      </c>
      <c r="E164" s="23">
        <f t="shared" si="5"/>
        <v>1.3127272727272727</v>
      </c>
      <c r="F164">
        <v>3000</v>
      </c>
    </row>
    <row r="165" spans="1:6" x14ac:dyDescent="0.35">
      <c r="A165" s="20" t="s">
        <v>161</v>
      </c>
      <c r="B165" s="22">
        <f>8960</f>
        <v>8960</v>
      </c>
      <c r="C165" s="22">
        <f>8100</f>
        <v>8100</v>
      </c>
      <c r="D165" s="22">
        <f t="shared" si="4"/>
        <v>860</v>
      </c>
      <c r="E165" s="23">
        <f t="shared" si="5"/>
        <v>1.1061728395061727</v>
      </c>
      <c r="F165">
        <v>9000</v>
      </c>
    </row>
    <row r="166" spans="1:6" x14ac:dyDescent="0.35">
      <c r="A166" s="20" t="s">
        <v>162</v>
      </c>
      <c r="B166" s="24">
        <f>(((((((((B156)+(B157))+(B158))+(B159))+(B160))+(B161))+(B162))+(B163))+(B164))+(B165)</f>
        <v>57008.160000000003</v>
      </c>
      <c r="C166" s="24">
        <f>(((((((((C156)+(C157))+(C158))+(C159))+(C160))+(C161))+(C162))+(C163))+(C164))+(C165)</f>
        <v>54800</v>
      </c>
      <c r="D166" s="24">
        <f t="shared" si="4"/>
        <v>2208.1600000000035</v>
      </c>
      <c r="E166" s="25">
        <f t="shared" si="5"/>
        <v>1.040294890510949</v>
      </c>
    </row>
    <row r="167" spans="1:6" x14ac:dyDescent="0.35">
      <c r="A167" s="20" t="s">
        <v>163</v>
      </c>
      <c r="B167" s="21"/>
      <c r="C167" s="21"/>
      <c r="D167" s="22">
        <f t="shared" si="4"/>
        <v>0</v>
      </c>
      <c r="E167" s="23" t="str">
        <f t="shared" si="5"/>
        <v/>
      </c>
    </row>
    <row r="168" spans="1:6" x14ac:dyDescent="0.35">
      <c r="A168" s="20" t="s">
        <v>164</v>
      </c>
      <c r="B168" s="22">
        <f>973.33</f>
        <v>973.33</v>
      </c>
      <c r="C168" s="22">
        <f>500</f>
        <v>500</v>
      </c>
      <c r="D168" s="22">
        <f t="shared" si="4"/>
        <v>473.33000000000004</v>
      </c>
      <c r="E168" s="23">
        <f t="shared" si="5"/>
        <v>1.9466600000000001</v>
      </c>
      <c r="F168">
        <v>1000</v>
      </c>
    </row>
    <row r="169" spans="1:6" x14ac:dyDescent="0.35">
      <c r="A169" s="20" t="s">
        <v>165</v>
      </c>
      <c r="B169" s="22">
        <f>752.75</f>
        <v>752.75</v>
      </c>
      <c r="C169" s="22">
        <f>1000</f>
        <v>1000</v>
      </c>
      <c r="D169" s="22">
        <f t="shared" si="4"/>
        <v>-247.25</v>
      </c>
      <c r="E169" s="23">
        <f t="shared" si="5"/>
        <v>0.75275000000000003</v>
      </c>
      <c r="F169">
        <v>1000</v>
      </c>
    </row>
    <row r="170" spans="1:6" x14ac:dyDescent="0.35">
      <c r="A170" s="20" t="s">
        <v>166</v>
      </c>
      <c r="B170" s="22">
        <f>564</f>
        <v>564</v>
      </c>
      <c r="C170" s="22">
        <f>800</f>
        <v>800</v>
      </c>
      <c r="D170" s="22">
        <f t="shared" si="4"/>
        <v>-236</v>
      </c>
      <c r="E170" s="23">
        <f t="shared" si="5"/>
        <v>0.70499999999999996</v>
      </c>
      <c r="F170">
        <v>800</v>
      </c>
    </row>
    <row r="171" spans="1:6" x14ac:dyDescent="0.35">
      <c r="A171" s="20" t="s">
        <v>167</v>
      </c>
      <c r="B171" s="22">
        <f>2000</f>
        <v>2000</v>
      </c>
      <c r="C171" s="22">
        <f>2700</f>
        <v>2700</v>
      </c>
      <c r="D171" s="22">
        <f t="shared" si="4"/>
        <v>-700</v>
      </c>
      <c r="E171" s="23">
        <f t="shared" si="5"/>
        <v>0.7407407407407407</v>
      </c>
      <c r="F171">
        <v>2400</v>
      </c>
    </row>
    <row r="172" spans="1:6" x14ac:dyDescent="0.35">
      <c r="A172" s="20" t="s">
        <v>168</v>
      </c>
      <c r="B172" s="22">
        <f>3250</f>
        <v>3250</v>
      </c>
      <c r="C172" s="22">
        <f>2500</f>
        <v>2500</v>
      </c>
      <c r="D172" s="22">
        <f t="shared" si="4"/>
        <v>750</v>
      </c>
      <c r="E172" s="23">
        <f t="shared" si="5"/>
        <v>1.3</v>
      </c>
      <c r="F172" s="59">
        <v>3500</v>
      </c>
    </row>
    <row r="173" spans="1:6" x14ac:dyDescent="0.35">
      <c r="A173" s="20" t="s">
        <v>169</v>
      </c>
      <c r="B173" s="22">
        <f>320</f>
        <v>320</v>
      </c>
      <c r="C173" s="22">
        <f>400</f>
        <v>400</v>
      </c>
      <c r="D173" s="22">
        <f t="shared" si="4"/>
        <v>-80</v>
      </c>
      <c r="E173" s="23">
        <f t="shared" si="5"/>
        <v>0.8</v>
      </c>
      <c r="F173" s="59">
        <v>400</v>
      </c>
    </row>
    <row r="174" spans="1:6" x14ac:dyDescent="0.35">
      <c r="A174" s="20" t="s">
        <v>170</v>
      </c>
      <c r="B174" s="22">
        <f>411.98</f>
        <v>411.98</v>
      </c>
      <c r="C174" s="22">
        <f>800</f>
        <v>800</v>
      </c>
      <c r="D174" s="22">
        <f t="shared" si="4"/>
        <v>-388.02</v>
      </c>
      <c r="E174" s="23">
        <f t="shared" si="5"/>
        <v>0.51497500000000007</v>
      </c>
      <c r="F174" s="59">
        <v>600</v>
      </c>
    </row>
    <row r="175" spans="1:6" ht="23.25" customHeight="1" x14ac:dyDescent="0.35">
      <c r="A175" s="20" t="s">
        <v>171</v>
      </c>
      <c r="B175" s="22">
        <f>415</f>
        <v>415</v>
      </c>
      <c r="C175" s="22">
        <f>600</f>
        <v>600</v>
      </c>
      <c r="D175" s="22">
        <f t="shared" si="4"/>
        <v>-185</v>
      </c>
      <c r="E175" s="23">
        <f t="shared" si="5"/>
        <v>0.69166666666666665</v>
      </c>
      <c r="F175" s="59">
        <v>600</v>
      </c>
    </row>
    <row r="176" spans="1:6" x14ac:dyDescent="0.35">
      <c r="A176" s="20" t="s">
        <v>172</v>
      </c>
      <c r="B176" s="22">
        <f>1600</f>
        <v>1600</v>
      </c>
      <c r="C176" s="22">
        <f>2000</f>
        <v>2000</v>
      </c>
      <c r="D176" s="22">
        <f t="shared" si="4"/>
        <v>-400</v>
      </c>
      <c r="E176" s="23">
        <f t="shared" si="5"/>
        <v>0.8</v>
      </c>
      <c r="F176" s="59">
        <v>1700</v>
      </c>
    </row>
    <row r="177" spans="1:6" x14ac:dyDescent="0.35">
      <c r="A177" s="20" t="s">
        <v>173</v>
      </c>
      <c r="B177" s="24">
        <f>(((((((((B167)+(B168))+(B169))+(B170))+(B171))+(B172))+(B173))+(B174))+(B175))+(B176)</f>
        <v>10287.06</v>
      </c>
      <c r="C177" s="24">
        <f>(((((((((C167)+(C168))+(C169))+(C170))+(C171))+(C172))+(C173))+(C174))+(C175))+(C176)</f>
        <v>11300</v>
      </c>
      <c r="D177" s="24">
        <f t="shared" si="4"/>
        <v>-1012.9400000000005</v>
      </c>
      <c r="E177" s="25">
        <f t="shared" si="5"/>
        <v>0.91035929203539823</v>
      </c>
    </row>
    <row r="178" spans="1:6" x14ac:dyDescent="0.35">
      <c r="A178" s="20" t="s">
        <v>174</v>
      </c>
      <c r="B178" s="24">
        <f>((((B132)+(B143))+(B155))+(B166))+(B177)</f>
        <v>174927.71000000002</v>
      </c>
      <c r="C178" s="24">
        <f>((((C132)+(C143))+(C155))+(C166))+(C177)</f>
        <v>168100</v>
      </c>
      <c r="D178" s="24">
        <f t="shared" si="4"/>
        <v>6827.710000000021</v>
      </c>
      <c r="E178" s="25">
        <f t="shared" si="5"/>
        <v>1.0406169541939323</v>
      </c>
    </row>
    <row r="179" spans="1:6" x14ac:dyDescent="0.35">
      <c r="A179" s="20" t="s">
        <v>175</v>
      </c>
      <c r="B179" s="22">
        <f>6349.14</f>
        <v>6349.14</v>
      </c>
      <c r="C179" s="22">
        <f>8000</f>
        <v>8000</v>
      </c>
      <c r="D179" s="22">
        <f t="shared" si="4"/>
        <v>-1650.8599999999997</v>
      </c>
      <c r="E179" s="23">
        <f t="shared" si="5"/>
        <v>0.79364250000000003</v>
      </c>
      <c r="F179">
        <v>8000</v>
      </c>
    </row>
    <row r="180" spans="1:6" x14ac:dyDescent="0.35">
      <c r="A180" s="20" t="s">
        <v>176</v>
      </c>
      <c r="B180" s="21"/>
      <c r="C180" s="21"/>
      <c r="D180" s="22">
        <f t="shared" si="4"/>
        <v>0</v>
      </c>
      <c r="E180" s="23" t="str">
        <f t="shared" si="5"/>
        <v/>
      </c>
    </row>
    <row r="181" spans="1:6" x14ac:dyDescent="0.35">
      <c r="A181" s="20" t="s">
        <v>177</v>
      </c>
      <c r="B181" s="21"/>
      <c r="C181" s="22">
        <f>2000</f>
        <v>2000</v>
      </c>
      <c r="D181" s="22">
        <f t="shared" si="4"/>
        <v>-2000</v>
      </c>
      <c r="E181" s="23">
        <f t="shared" si="5"/>
        <v>0</v>
      </c>
      <c r="F181">
        <v>2000</v>
      </c>
    </row>
    <row r="182" spans="1:6" x14ac:dyDescent="0.35">
      <c r="A182" s="20" t="s">
        <v>178</v>
      </c>
      <c r="B182" s="21"/>
      <c r="C182" s="22">
        <f>2800</f>
        <v>2800</v>
      </c>
      <c r="D182" s="22">
        <f t="shared" si="4"/>
        <v>-2800</v>
      </c>
      <c r="E182" s="23">
        <f t="shared" si="5"/>
        <v>0</v>
      </c>
      <c r="F182">
        <v>2800</v>
      </c>
    </row>
    <row r="183" spans="1:6" x14ac:dyDescent="0.35">
      <c r="A183" s="20" t="s">
        <v>179</v>
      </c>
      <c r="B183" s="22">
        <f>2200</f>
        <v>2200</v>
      </c>
      <c r="C183" s="22">
        <f>10000</f>
        <v>10000</v>
      </c>
      <c r="D183" s="22">
        <f t="shared" si="4"/>
        <v>-7800</v>
      </c>
      <c r="E183" s="23">
        <f t="shared" si="5"/>
        <v>0.22</v>
      </c>
      <c r="F183">
        <v>5000</v>
      </c>
    </row>
    <row r="184" spans="1:6" x14ac:dyDescent="0.35">
      <c r="A184" s="20" t="s">
        <v>180</v>
      </c>
      <c r="B184" s="22">
        <f>2500</f>
        <v>2500</v>
      </c>
      <c r="C184" s="22">
        <f>2500</f>
        <v>2500</v>
      </c>
      <c r="D184" s="22">
        <f t="shared" si="4"/>
        <v>0</v>
      </c>
      <c r="E184" s="23">
        <f t="shared" si="5"/>
        <v>1</v>
      </c>
      <c r="F184" s="59">
        <v>2500</v>
      </c>
    </row>
    <row r="185" spans="1:6" x14ac:dyDescent="0.35">
      <c r="A185" s="20" t="s">
        <v>181</v>
      </c>
      <c r="B185" s="21"/>
      <c r="C185" s="22">
        <f>1500</f>
        <v>1500</v>
      </c>
      <c r="D185" s="22">
        <f t="shared" si="4"/>
        <v>-1500</v>
      </c>
      <c r="E185" s="23">
        <f t="shared" si="5"/>
        <v>0</v>
      </c>
      <c r="F185">
        <v>1500</v>
      </c>
    </row>
    <row r="186" spans="1:6" x14ac:dyDescent="0.35">
      <c r="A186" s="20" t="s">
        <v>182</v>
      </c>
      <c r="B186" s="24">
        <f>(((((B180)+(B181))+(B182))+(B183))+(B184))+(B185)</f>
        <v>4700</v>
      </c>
      <c r="C186" s="24">
        <f>(((((C180)+(C181))+(C182))+(C183))+(C184))+(C185)</f>
        <v>18800</v>
      </c>
      <c r="D186" s="24">
        <f t="shared" si="4"/>
        <v>-14100</v>
      </c>
      <c r="E186" s="25">
        <f t="shared" si="5"/>
        <v>0.25</v>
      </c>
    </row>
    <row r="187" spans="1:6" x14ac:dyDescent="0.35">
      <c r="A187" s="20" t="s">
        <v>183</v>
      </c>
      <c r="B187" s="21"/>
      <c r="C187" s="21"/>
      <c r="D187" s="22">
        <f t="shared" si="4"/>
        <v>0</v>
      </c>
      <c r="E187" s="23" t="str">
        <f t="shared" si="5"/>
        <v/>
      </c>
    </row>
    <row r="188" spans="1:6" x14ac:dyDescent="0.35">
      <c r="A188" s="20" t="s">
        <v>184</v>
      </c>
      <c r="B188" s="21"/>
      <c r="C188" s="21"/>
      <c r="D188" s="22">
        <f t="shared" si="4"/>
        <v>0</v>
      </c>
      <c r="E188" s="23" t="str">
        <f t="shared" si="5"/>
        <v/>
      </c>
    </row>
    <row r="189" spans="1:6" x14ac:dyDescent="0.35">
      <c r="A189" s="20" t="s">
        <v>185</v>
      </c>
      <c r="B189" s="21"/>
      <c r="C189" s="21"/>
      <c r="D189" s="22">
        <f t="shared" si="4"/>
        <v>0</v>
      </c>
      <c r="E189" s="23" t="str">
        <f t="shared" si="5"/>
        <v/>
      </c>
    </row>
    <row r="190" spans="1:6" x14ac:dyDescent="0.35">
      <c r="A190" s="20" t="s">
        <v>402</v>
      </c>
      <c r="B190" s="22">
        <f>3000</f>
        <v>3000</v>
      </c>
      <c r="C190" s="22">
        <f>3000</f>
        <v>3000</v>
      </c>
      <c r="D190" s="22">
        <f t="shared" si="4"/>
        <v>0</v>
      </c>
      <c r="E190" s="23">
        <f t="shared" si="5"/>
        <v>1</v>
      </c>
      <c r="F190">
        <v>3000</v>
      </c>
    </row>
    <row r="191" spans="1:6" x14ac:dyDescent="0.35">
      <c r="A191" s="20" t="s">
        <v>186</v>
      </c>
      <c r="B191" s="21"/>
      <c r="C191" s="22">
        <f>1200</f>
        <v>1200</v>
      </c>
      <c r="D191" s="22">
        <f t="shared" si="4"/>
        <v>-1200</v>
      </c>
      <c r="E191" s="23">
        <f t="shared" si="5"/>
        <v>0</v>
      </c>
      <c r="F191">
        <v>1200</v>
      </c>
    </row>
    <row r="192" spans="1:6" x14ac:dyDescent="0.35">
      <c r="A192" s="20" t="s">
        <v>187</v>
      </c>
      <c r="B192" s="22">
        <f>15502.62</f>
        <v>15502.62</v>
      </c>
      <c r="C192" s="22">
        <f>18675</f>
        <v>18675</v>
      </c>
      <c r="D192" s="22">
        <f t="shared" si="4"/>
        <v>-3172.3799999999992</v>
      </c>
      <c r="E192" s="23">
        <f t="shared" si="5"/>
        <v>0.8301269076305221</v>
      </c>
      <c r="F192">
        <v>18000</v>
      </c>
    </row>
    <row r="193" spans="1:6" x14ac:dyDescent="0.35">
      <c r="A193" s="20" t="s">
        <v>403</v>
      </c>
      <c r="B193" s="22">
        <f>1957.88</f>
        <v>1957.88</v>
      </c>
      <c r="C193" s="22">
        <f>8000</f>
        <v>8000</v>
      </c>
      <c r="D193" s="22">
        <f t="shared" si="4"/>
        <v>-6042.12</v>
      </c>
      <c r="E193" s="23">
        <f t="shared" si="5"/>
        <v>0.24473500000000001</v>
      </c>
      <c r="F193">
        <v>2000</v>
      </c>
    </row>
    <row r="194" spans="1:6" x14ac:dyDescent="0.35">
      <c r="A194" s="20" t="s">
        <v>188</v>
      </c>
      <c r="B194" s="22">
        <f>181.87</f>
        <v>181.87</v>
      </c>
      <c r="C194" s="22">
        <f>800</f>
        <v>800</v>
      </c>
      <c r="D194" s="22">
        <f t="shared" si="4"/>
        <v>-618.13</v>
      </c>
      <c r="E194" s="23">
        <f t="shared" si="5"/>
        <v>0.2273375</v>
      </c>
      <c r="F194">
        <v>300</v>
      </c>
    </row>
    <row r="195" spans="1:6" x14ac:dyDescent="0.35">
      <c r="A195" s="20" t="s">
        <v>404</v>
      </c>
      <c r="B195" s="22">
        <f>750</f>
        <v>750</v>
      </c>
      <c r="C195" s="22">
        <f>500</f>
        <v>500</v>
      </c>
      <c r="D195" s="22">
        <f t="shared" si="4"/>
        <v>250</v>
      </c>
      <c r="E195" s="23">
        <f t="shared" si="5"/>
        <v>1.5</v>
      </c>
      <c r="F195">
        <v>900</v>
      </c>
    </row>
    <row r="196" spans="1:6" x14ac:dyDescent="0.35">
      <c r="A196" s="20" t="s">
        <v>405</v>
      </c>
      <c r="B196" s="22">
        <f>2335.17</f>
        <v>2335.17</v>
      </c>
      <c r="C196" s="22">
        <f>8000</f>
        <v>8000</v>
      </c>
      <c r="D196" s="22">
        <f t="shared" si="4"/>
        <v>-5664.83</v>
      </c>
      <c r="E196" s="23">
        <f t="shared" si="5"/>
        <v>0.29189625000000002</v>
      </c>
      <c r="F196">
        <v>2500</v>
      </c>
    </row>
    <row r="197" spans="1:6" x14ac:dyDescent="0.35">
      <c r="A197" s="20" t="s">
        <v>406</v>
      </c>
      <c r="B197" s="22">
        <f>625</f>
        <v>625</v>
      </c>
      <c r="C197" s="22">
        <f>625</f>
        <v>625</v>
      </c>
      <c r="D197" s="22">
        <f t="shared" si="4"/>
        <v>0</v>
      </c>
      <c r="E197" s="23">
        <f t="shared" si="5"/>
        <v>1</v>
      </c>
      <c r="F197">
        <v>625</v>
      </c>
    </row>
    <row r="198" spans="1:6" x14ac:dyDescent="0.35">
      <c r="A198" s="20" t="s">
        <v>189</v>
      </c>
      <c r="B198" s="24">
        <f>((((((((B189)+(B190))+(B191))+(B192))+(B193))+(B194))+(B195))+(B196))+(B197)</f>
        <v>24352.54</v>
      </c>
      <c r="C198" s="24">
        <f>((((((((C189)+(C190))+(C191))+(C192))+(C193))+(C194))+(C195))+(C196))+(C197)</f>
        <v>40800</v>
      </c>
      <c r="D198" s="24">
        <f t="shared" si="4"/>
        <v>-16447.46</v>
      </c>
      <c r="E198" s="25">
        <f t="shared" si="5"/>
        <v>0.59687598039215684</v>
      </c>
    </row>
    <row r="199" spans="1:6" x14ac:dyDescent="0.35">
      <c r="A199" s="20" t="s">
        <v>190</v>
      </c>
      <c r="B199" s="21"/>
      <c r="C199" s="21"/>
      <c r="D199" s="22">
        <f t="shared" ref="D199:D262" si="6">(B199)-(C199)</f>
        <v>0</v>
      </c>
      <c r="E199" s="23" t="str">
        <f t="shared" ref="E199:E262" si="7">IF(C199=0,"",(B199)/(C199))</f>
        <v/>
      </c>
    </row>
    <row r="200" spans="1:6" x14ac:dyDescent="0.35">
      <c r="A200" s="20" t="s">
        <v>191</v>
      </c>
      <c r="B200" s="21"/>
      <c r="C200" s="22">
        <f>300</f>
        <v>300</v>
      </c>
      <c r="D200" s="22">
        <f t="shared" si="6"/>
        <v>-300</v>
      </c>
      <c r="E200" s="23">
        <f t="shared" si="7"/>
        <v>0</v>
      </c>
      <c r="F200">
        <v>300</v>
      </c>
    </row>
    <row r="201" spans="1:6" x14ac:dyDescent="0.35">
      <c r="A201" s="20" t="s">
        <v>192</v>
      </c>
      <c r="B201" s="21"/>
      <c r="C201" s="22">
        <f>2860</f>
        <v>2860</v>
      </c>
      <c r="D201" s="22">
        <f t="shared" si="6"/>
        <v>-2860</v>
      </c>
      <c r="E201" s="23">
        <f t="shared" si="7"/>
        <v>0</v>
      </c>
      <c r="F201">
        <v>2800</v>
      </c>
    </row>
    <row r="202" spans="1:6" x14ac:dyDescent="0.35">
      <c r="A202" s="20" t="s">
        <v>193</v>
      </c>
      <c r="B202" s="21"/>
      <c r="C202" s="22">
        <f>300</f>
        <v>300</v>
      </c>
      <c r="D202" s="22">
        <f t="shared" si="6"/>
        <v>-300</v>
      </c>
      <c r="E202" s="23">
        <f t="shared" si="7"/>
        <v>0</v>
      </c>
      <c r="F202">
        <v>300</v>
      </c>
    </row>
    <row r="203" spans="1:6" x14ac:dyDescent="0.35">
      <c r="A203" s="20" t="s">
        <v>194</v>
      </c>
      <c r="B203" s="22">
        <f>250</f>
        <v>250</v>
      </c>
      <c r="C203" s="22">
        <f>375</f>
        <v>375</v>
      </c>
      <c r="D203" s="22">
        <f t="shared" si="6"/>
        <v>-125</v>
      </c>
      <c r="E203" s="23">
        <f t="shared" si="7"/>
        <v>0.66666666666666663</v>
      </c>
      <c r="F203">
        <v>450</v>
      </c>
    </row>
    <row r="204" spans="1:6" x14ac:dyDescent="0.35">
      <c r="A204" s="20" t="s">
        <v>195</v>
      </c>
      <c r="B204" s="22">
        <f>1560</f>
        <v>1560</v>
      </c>
      <c r="C204" s="22">
        <f>750</f>
        <v>750</v>
      </c>
      <c r="D204" s="22">
        <f t="shared" si="6"/>
        <v>810</v>
      </c>
      <c r="E204" s="23">
        <f t="shared" si="7"/>
        <v>2.08</v>
      </c>
      <c r="F204">
        <v>1500</v>
      </c>
    </row>
    <row r="205" spans="1:6" x14ac:dyDescent="0.35">
      <c r="A205" s="20" t="s">
        <v>196</v>
      </c>
      <c r="B205" s="24">
        <f>(((((B199)+(B200))+(B201))+(B202))+(B203))+(B204)</f>
        <v>1810</v>
      </c>
      <c r="C205" s="24">
        <f>(((((C199)+(C200))+(C201))+(C202))+(C203))+(C204)</f>
        <v>4585</v>
      </c>
      <c r="D205" s="24">
        <f t="shared" si="6"/>
        <v>-2775</v>
      </c>
      <c r="E205" s="25">
        <f t="shared" si="7"/>
        <v>0.39476553980370777</v>
      </c>
      <c r="F205" s="12"/>
    </row>
    <row r="206" spans="1:6" x14ac:dyDescent="0.35">
      <c r="A206" s="20" t="s">
        <v>197</v>
      </c>
      <c r="B206" s="24">
        <f>((B188)+(B198))+(B205)</f>
        <v>26162.54</v>
      </c>
      <c r="C206" s="24">
        <f>((C188)+(C198))+(C205)</f>
        <v>45385</v>
      </c>
      <c r="D206" s="24">
        <f t="shared" si="6"/>
        <v>-19222.46</v>
      </c>
      <c r="E206" s="25">
        <f t="shared" si="7"/>
        <v>0.57645786052660575</v>
      </c>
    </row>
    <row r="207" spans="1:6" x14ac:dyDescent="0.35">
      <c r="A207" s="20" t="s">
        <v>198</v>
      </c>
      <c r="B207" s="21"/>
      <c r="C207" s="21"/>
      <c r="D207" s="22">
        <f t="shared" si="6"/>
        <v>0</v>
      </c>
      <c r="E207" s="23" t="str">
        <f t="shared" si="7"/>
        <v/>
      </c>
    </row>
    <row r="208" spans="1:6" x14ac:dyDescent="0.35">
      <c r="A208" s="20" t="s">
        <v>199</v>
      </c>
      <c r="B208" s="21"/>
      <c r="C208" s="22">
        <f>6600</f>
        <v>6600</v>
      </c>
      <c r="D208" s="22">
        <f t="shared" si="6"/>
        <v>-6600</v>
      </c>
      <c r="E208" s="23">
        <f t="shared" si="7"/>
        <v>0</v>
      </c>
      <c r="F208">
        <v>6600</v>
      </c>
    </row>
    <row r="209" spans="1:6" x14ac:dyDescent="0.35">
      <c r="A209" s="20" t="s">
        <v>200</v>
      </c>
      <c r="B209" s="22">
        <f>5658</f>
        <v>5658</v>
      </c>
      <c r="C209" s="22">
        <f>5420</f>
        <v>5420</v>
      </c>
      <c r="D209" s="22">
        <f t="shared" si="6"/>
        <v>238</v>
      </c>
      <c r="E209" s="23">
        <f t="shared" si="7"/>
        <v>1.0439114391143911</v>
      </c>
      <c r="F209">
        <v>6500</v>
      </c>
    </row>
    <row r="210" spans="1:6" x14ac:dyDescent="0.35">
      <c r="A210" s="20" t="s">
        <v>201</v>
      </c>
      <c r="B210" s="22">
        <f>7113.6</f>
        <v>7113.6</v>
      </c>
      <c r="C210" s="22">
        <f>7500</f>
        <v>7500</v>
      </c>
      <c r="D210" s="22">
        <f t="shared" si="6"/>
        <v>-386.39999999999964</v>
      </c>
      <c r="E210" s="23">
        <f t="shared" si="7"/>
        <v>0.9484800000000001</v>
      </c>
      <c r="F210">
        <v>7500</v>
      </c>
    </row>
    <row r="211" spans="1:6" x14ac:dyDescent="0.35">
      <c r="A211" s="20" t="s">
        <v>202</v>
      </c>
      <c r="B211" s="22">
        <f>500</f>
        <v>500</v>
      </c>
      <c r="C211" s="22">
        <f>500</f>
        <v>500</v>
      </c>
      <c r="D211" s="22">
        <f t="shared" si="6"/>
        <v>0</v>
      </c>
      <c r="E211" s="23">
        <f t="shared" si="7"/>
        <v>1</v>
      </c>
      <c r="F211">
        <v>900</v>
      </c>
    </row>
    <row r="212" spans="1:6" x14ac:dyDescent="0.35">
      <c r="A212" s="20" t="s">
        <v>203</v>
      </c>
      <c r="B212" s="21"/>
      <c r="C212" s="22">
        <f>300</f>
        <v>300</v>
      </c>
      <c r="D212" s="22">
        <f t="shared" si="6"/>
        <v>-300</v>
      </c>
      <c r="E212" s="23">
        <f t="shared" si="7"/>
        <v>0</v>
      </c>
      <c r="F212" s="59">
        <v>300</v>
      </c>
    </row>
    <row r="213" spans="1:6" x14ac:dyDescent="0.35">
      <c r="A213" s="20" t="s">
        <v>204</v>
      </c>
      <c r="B213" s="22">
        <f>1500</f>
        <v>1500</v>
      </c>
      <c r="C213" s="22">
        <f>3000</f>
        <v>3000</v>
      </c>
      <c r="D213" s="22">
        <f t="shared" si="6"/>
        <v>-1500</v>
      </c>
      <c r="E213" s="23">
        <f t="shared" si="7"/>
        <v>0.5</v>
      </c>
      <c r="F213" s="59">
        <v>1500</v>
      </c>
    </row>
    <row r="214" spans="1:6" x14ac:dyDescent="0.35">
      <c r="A214" s="20" t="s">
        <v>205</v>
      </c>
      <c r="B214" s="22">
        <f>7000</f>
        <v>7000</v>
      </c>
      <c r="C214" s="22">
        <f>8000</f>
        <v>8000</v>
      </c>
      <c r="D214" s="22">
        <f t="shared" si="6"/>
        <v>-1000</v>
      </c>
      <c r="E214" s="23">
        <f t="shared" si="7"/>
        <v>0.875</v>
      </c>
      <c r="F214" s="59">
        <v>8000</v>
      </c>
    </row>
    <row r="215" spans="1:6" x14ac:dyDescent="0.35">
      <c r="A215" s="20" t="s">
        <v>206</v>
      </c>
      <c r="B215" s="22">
        <f>625</f>
        <v>625</v>
      </c>
      <c r="C215" s="22">
        <f>700</f>
        <v>700</v>
      </c>
      <c r="D215" s="22">
        <f t="shared" si="6"/>
        <v>-75</v>
      </c>
      <c r="E215" s="23">
        <f t="shared" si="7"/>
        <v>0.8928571428571429</v>
      </c>
      <c r="F215" s="59">
        <v>625</v>
      </c>
    </row>
    <row r="216" spans="1:6" x14ac:dyDescent="0.35">
      <c r="A216" s="20" t="s">
        <v>207</v>
      </c>
      <c r="B216" s="24">
        <f>((((((((B207)+(B208))+(B209))+(B210))+(B211))+(B212))+(B213))+(B214))+(B215)</f>
        <v>22396.6</v>
      </c>
      <c r="C216" s="24">
        <f>((((((((C207)+(C208))+(C209))+(C210))+(C211))+(C212))+(C213))+(C214))+(C215)</f>
        <v>32020</v>
      </c>
      <c r="D216" s="24">
        <f t="shared" si="6"/>
        <v>-9623.4000000000015</v>
      </c>
      <c r="E216" s="25">
        <f t="shared" si="7"/>
        <v>0.69945658963148027</v>
      </c>
    </row>
    <row r="217" spans="1:6" x14ac:dyDescent="0.35">
      <c r="A217" s="20" t="s">
        <v>208</v>
      </c>
      <c r="B217" s="21"/>
      <c r="C217" s="21"/>
      <c r="D217" s="22">
        <f t="shared" si="6"/>
        <v>0</v>
      </c>
      <c r="E217" s="23" t="str">
        <f t="shared" si="7"/>
        <v/>
      </c>
    </row>
    <row r="218" spans="1:6" x14ac:dyDescent="0.35">
      <c r="A218" s="20" t="s">
        <v>209</v>
      </c>
      <c r="B218" s="21"/>
      <c r="C218" s="22">
        <f>1000</f>
        <v>1000</v>
      </c>
      <c r="D218" s="22">
        <f t="shared" si="6"/>
        <v>-1000</v>
      </c>
      <c r="E218" s="23">
        <f t="shared" si="7"/>
        <v>0</v>
      </c>
      <c r="F218">
        <v>100</v>
      </c>
    </row>
    <row r="219" spans="1:6" x14ac:dyDescent="0.35">
      <c r="A219" s="20" t="s">
        <v>210</v>
      </c>
      <c r="B219" s="21"/>
      <c r="C219" s="22">
        <f>4400</f>
        <v>4400</v>
      </c>
      <c r="D219" s="22">
        <f t="shared" si="6"/>
        <v>-4400</v>
      </c>
      <c r="E219" s="23">
        <f t="shared" si="7"/>
        <v>0</v>
      </c>
      <c r="F219">
        <v>4400</v>
      </c>
    </row>
    <row r="220" spans="1:6" x14ac:dyDescent="0.35">
      <c r="A220" s="20" t="s">
        <v>211</v>
      </c>
      <c r="B220" s="21"/>
      <c r="C220" s="22">
        <f>3200</f>
        <v>3200</v>
      </c>
      <c r="D220" s="22">
        <f t="shared" si="6"/>
        <v>-3200</v>
      </c>
      <c r="E220" s="23">
        <f t="shared" si="7"/>
        <v>0</v>
      </c>
      <c r="F220">
        <v>3200</v>
      </c>
    </row>
    <row r="221" spans="1:6" x14ac:dyDescent="0.35">
      <c r="A221" s="20" t="s">
        <v>212</v>
      </c>
      <c r="B221" s="21"/>
      <c r="C221" s="22">
        <f>7000</f>
        <v>7000</v>
      </c>
      <c r="D221" s="22">
        <f t="shared" si="6"/>
        <v>-7000</v>
      </c>
      <c r="E221" s="23">
        <f t="shared" si="7"/>
        <v>0</v>
      </c>
      <c r="F221">
        <v>7000</v>
      </c>
    </row>
    <row r="222" spans="1:6" x14ac:dyDescent="0.35">
      <c r="A222" s="20" t="s">
        <v>213</v>
      </c>
      <c r="B222" s="21"/>
      <c r="C222" s="22">
        <f>7600</f>
        <v>7600</v>
      </c>
      <c r="D222" s="22">
        <f t="shared" si="6"/>
        <v>-7600</v>
      </c>
      <c r="E222" s="23">
        <f t="shared" si="7"/>
        <v>0</v>
      </c>
      <c r="F222">
        <v>7600</v>
      </c>
    </row>
    <row r="223" spans="1:6" x14ac:dyDescent="0.35">
      <c r="A223" s="20" t="s">
        <v>214</v>
      </c>
      <c r="B223" s="21"/>
      <c r="C223" s="22">
        <f>800</f>
        <v>800</v>
      </c>
      <c r="D223" s="22">
        <f t="shared" si="6"/>
        <v>-800</v>
      </c>
      <c r="E223" s="23">
        <f t="shared" si="7"/>
        <v>0</v>
      </c>
      <c r="F223" s="59">
        <v>800</v>
      </c>
    </row>
    <row r="224" spans="1:6" x14ac:dyDescent="0.35">
      <c r="A224" s="20" t="s">
        <v>215</v>
      </c>
      <c r="B224" s="21"/>
      <c r="C224" s="22">
        <f>1000</f>
        <v>1000</v>
      </c>
      <c r="D224" s="22">
        <f t="shared" si="6"/>
        <v>-1000</v>
      </c>
      <c r="E224" s="23">
        <f t="shared" si="7"/>
        <v>0</v>
      </c>
      <c r="F224">
        <v>1000</v>
      </c>
    </row>
    <row r="225" spans="1:6" x14ac:dyDescent="0.35">
      <c r="A225" s="20" t="s">
        <v>216</v>
      </c>
      <c r="B225" s="21"/>
      <c r="C225" s="22">
        <f>41000</f>
        <v>41000</v>
      </c>
      <c r="D225" s="22">
        <f t="shared" si="6"/>
        <v>-41000</v>
      </c>
      <c r="E225" s="23">
        <f t="shared" si="7"/>
        <v>0</v>
      </c>
      <c r="F225">
        <v>41900</v>
      </c>
    </row>
    <row r="226" spans="1:6" x14ac:dyDescent="0.35">
      <c r="A226" s="20" t="s">
        <v>217</v>
      </c>
      <c r="B226" s="24">
        <f>((((((((B217)+(B218))+(B219))+(B220))+(B221))+(B222))+(B223))+(B224))+(B225)</f>
        <v>0</v>
      </c>
      <c r="C226" s="24">
        <f>((((((((C217)+(C218))+(C219))+(C220))+(C221))+(C222))+(C223))+(C224))+(C225)</f>
        <v>66000</v>
      </c>
      <c r="D226" s="24">
        <f t="shared" si="6"/>
        <v>-66000</v>
      </c>
      <c r="E226" s="25">
        <f t="shared" si="7"/>
        <v>0</v>
      </c>
    </row>
    <row r="227" spans="1:6" x14ac:dyDescent="0.35">
      <c r="A227" s="20" t="s">
        <v>218</v>
      </c>
      <c r="B227" s="21"/>
      <c r="C227" s="21"/>
      <c r="D227" s="22">
        <f t="shared" si="6"/>
        <v>0</v>
      </c>
      <c r="E227" s="23" t="str">
        <f t="shared" si="7"/>
        <v/>
      </c>
    </row>
    <row r="228" spans="1:6" x14ac:dyDescent="0.35">
      <c r="A228" s="20" t="s">
        <v>219</v>
      </c>
      <c r="B228" s="21"/>
      <c r="C228" s="22">
        <f>120</f>
        <v>120</v>
      </c>
      <c r="D228" s="22">
        <f t="shared" si="6"/>
        <v>-120</v>
      </c>
      <c r="E228" s="23">
        <f t="shared" si="7"/>
        <v>0</v>
      </c>
      <c r="F228">
        <v>120</v>
      </c>
    </row>
    <row r="229" spans="1:6" x14ac:dyDescent="0.35">
      <c r="A229" s="20" t="s">
        <v>220</v>
      </c>
      <c r="B229" s="22">
        <f>200</f>
        <v>200</v>
      </c>
      <c r="C229" s="22">
        <f>300</f>
        <v>300</v>
      </c>
      <c r="D229" s="22">
        <f t="shared" si="6"/>
        <v>-100</v>
      </c>
      <c r="E229" s="23">
        <f t="shared" si="7"/>
        <v>0.66666666666666663</v>
      </c>
      <c r="F229">
        <v>300</v>
      </c>
    </row>
    <row r="230" spans="1:6" x14ac:dyDescent="0.35">
      <c r="A230" s="20" t="s">
        <v>221</v>
      </c>
      <c r="B230" s="21"/>
      <c r="C230" s="21"/>
      <c r="D230" s="22">
        <f t="shared" si="6"/>
        <v>0</v>
      </c>
      <c r="E230" s="23" t="str">
        <f t="shared" si="7"/>
        <v/>
      </c>
    </row>
    <row r="231" spans="1:6" x14ac:dyDescent="0.35">
      <c r="A231" s="20" t="s">
        <v>222</v>
      </c>
      <c r="B231" s="22">
        <f>750</f>
        <v>750</v>
      </c>
      <c r="C231" s="22">
        <f>750</f>
        <v>750</v>
      </c>
      <c r="D231" s="22">
        <f t="shared" si="6"/>
        <v>0</v>
      </c>
      <c r="E231" s="23">
        <f t="shared" si="7"/>
        <v>1</v>
      </c>
      <c r="F231">
        <v>750</v>
      </c>
    </row>
    <row r="232" spans="1:6" x14ac:dyDescent="0.35">
      <c r="A232" s="20" t="s">
        <v>223</v>
      </c>
      <c r="B232" s="22">
        <f>1400</f>
        <v>1400</v>
      </c>
      <c r="C232" s="22">
        <f>1325</f>
        <v>1325</v>
      </c>
      <c r="D232" s="22">
        <f t="shared" si="6"/>
        <v>75</v>
      </c>
      <c r="E232" s="23">
        <f t="shared" si="7"/>
        <v>1.0566037735849056</v>
      </c>
      <c r="F232">
        <v>1400</v>
      </c>
    </row>
    <row r="233" spans="1:6" x14ac:dyDescent="0.35">
      <c r="A233" s="20" t="s">
        <v>224</v>
      </c>
      <c r="B233" s="22">
        <f>20848.5</f>
        <v>20848.5</v>
      </c>
      <c r="C233" s="22">
        <f>18700</f>
        <v>18700</v>
      </c>
      <c r="D233" s="22">
        <f t="shared" si="6"/>
        <v>2148.5</v>
      </c>
      <c r="E233" s="23">
        <f t="shared" si="7"/>
        <v>1.1148930481283423</v>
      </c>
      <c r="F233" s="59">
        <v>24000</v>
      </c>
    </row>
    <row r="234" spans="1:6" x14ac:dyDescent="0.35">
      <c r="A234" s="20" t="s">
        <v>225</v>
      </c>
      <c r="B234" s="22">
        <f>1494.8</f>
        <v>1494.8</v>
      </c>
      <c r="C234" s="22">
        <f>1400</f>
        <v>1400</v>
      </c>
      <c r="D234" s="22">
        <f t="shared" si="6"/>
        <v>94.799999999999955</v>
      </c>
      <c r="E234" s="23">
        <f t="shared" si="7"/>
        <v>1.0677142857142856</v>
      </c>
      <c r="F234" s="59">
        <v>1500</v>
      </c>
    </row>
    <row r="235" spans="1:6" x14ac:dyDescent="0.35">
      <c r="A235" s="20" t="s">
        <v>226</v>
      </c>
      <c r="B235" s="21"/>
      <c r="C235" s="22">
        <f>150</f>
        <v>150</v>
      </c>
      <c r="D235" s="22">
        <f t="shared" si="6"/>
        <v>-150</v>
      </c>
      <c r="E235" s="23">
        <f t="shared" si="7"/>
        <v>0</v>
      </c>
      <c r="F235" s="59">
        <v>150</v>
      </c>
    </row>
    <row r="236" spans="1:6" x14ac:dyDescent="0.35">
      <c r="A236" s="20" t="s">
        <v>227</v>
      </c>
      <c r="B236" s="22">
        <f>3350</f>
        <v>3350</v>
      </c>
      <c r="C236" s="22">
        <f>3350</f>
        <v>3350</v>
      </c>
      <c r="D236" s="22">
        <f t="shared" si="6"/>
        <v>0</v>
      </c>
      <c r="E236" s="23">
        <f t="shared" si="7"/>
        <v>1</v>
      </c>
      <c r="F236" s="59">
        <v>3350</v>
      </c>
    </row>
    <row r="237" spans="1:6" x14ac:dyDescent="0.35">
      <c r="A237" s="20" t="s">
        <v>228</v>
      </c>
      <c r="B237" s="22">
        <f>1748.4</f>
        <v>1748.4</v>
      </c>
      <c r="C237" s="22">
        <f>800</f>
        <v>800</v>
      </c>
      <c r="D237" s="22">
        <f t="shared" si="6"/>
        <v>948.40000000000009</v>
      </c>
      <c r="E237" s="23">
        <f t="shared" si="7"/>
        <v>2.1855000000000002</v>
      </c>
      <c r="F237" s="59">
        <v>1800</v>
      </c>
    </row>
    <row r="238" spans="1:6" x14ac:dyDescent="0.35">
      <c r="A238" s="20" t="s">
        <v>229</v>
      </c>
      <c r="B238" s="24">
        <f>(((((((B230)+(B231))+(B232))+(B233))+(B234))+(B235))+(B236))+(B237)</f>
        <v>29591.7</v>
      </c>
      <c r="C238" s="24">
        <f>(((((((C230)+(C231))+(C232))+(C233))+(C234))+(C235))+(C236))+(C237)</f>
        <v>26475</v>
      </c>
      <c r="D238" s="24">
        <f t="shared" si="6"/>
        <v>3116.7000000000007</v>
      </c>
      <c r="E238" s="25">
        <f t="shared" si="7"/>
        <v>1.1177223796033995</v>
      </c>
    </row>
    <row r="239" spans="1:6" x14ac:dyDescent="0.35">
      <c r="A239" s="20" t="s">
        <v>230</v>
      </c>
      <c r="B239" s="21"/>
      <c r="C239" s="21"/>
      <c r="D239" s="22">
        <f t="shared" si="6"/>
        <v>0</v>
      </c>
      <c r="E239" s="23" t="str">
        <f t="shared" si="7"/>
        <v/>
      </c>
    </row>
    <row r="240" spans="1:6" x14ac:dyDescent="0.35">
      <c r="A240" s="20" t="s">
        <v>231</v>
      </c>
      <c r="B240" s="22">
        <f>225</f>
        <v>225</v>
      </c>
      <c r="C240" s="22">
        <f>225</f>
        <v>225</v>
      </c>
      <c r="D240" s="22">
        <f t="shared" si="6"/>
        <v>0</v>
      </c>
      <c r="E240" s="23">
        <f t="shared" si="7"/>
        <v>1</v>
      </c>
      <c r="F240">
        <v>225</v>
      </c>
    </row>
    <row r="241" spans="1:7" x14ac:dyDescent="0.35">
      <c r="A241" s="20" t="s">
        <v>232</v>
      </c>
      <c r="B241" s="22">
        <f>3983</f>
        <v>3983</v>
      </c>
      <c r="C241" s="22">
        <f>3080</f>
        <v>3080</v>
      </c>
      <c r="D241" s="22">
        <f t="shared" si="6"/>
        <v>903</v>
      </c>
      <c r="E241" s="23">
        <f t="shared" si="7"/>
        <v>1.2931818181818182</v>
      </c>
      <c r="F241">
        <v>4600</v>
      </c>
    </row>
    <row r="242" spans="1:7" x14ac:dyDescent="0.35">
      <c r="A242" s="20" t="s">
        <v>233</v>
      </c>
      <c r="B242" s="22">
        <f>1244.04</f>
        <v>1244.04</v>
      </c>
      <c r="C242" s="22">
        <f>750</f>
        <v>750</v>
      </c>
      <c r="D242" s="22">
        <f t="shared" si="6"/>
        <v>494.03999999999996</v>
      </c>
      <c r="E242" s="23">
        <f t="shared" si="7"/>
        <v>1.65872</v>
      </c>
      <c r="F242">
        <v>1000</v>
      </c>
      <c r="G242" t="s">
        <v>440</v>
      </c>
    </row>
    <row r="243" spans="1:7" ht="23.25" customHeight="1" x14ac:dyDescent="0.35">
      <c r="A243" s="20" t="s">
        <v>234</v>
      </c>
      <c r="B243" s="21"/>
      <c r="C243" s="22">
        <f>150</f>
        <v>150</v>
      </c>
      <c r="D243" s="22">
        <f t="shared" si="6"/>
        <v>-150</v>
      </c>
      <c r="E243" s="23">
        <f t="shared" si="7"/>
        <v>0</v>
      </c>
      <c r="F243">
        <v>150</v>
      </c>
    </row>
    <row r="244" spans="1:7" x14ac:dyDescent="0.35">
      <c r="A244" s="20" t="s">
        <v>235</v>
      </c>
      <c r="B244" s="22">
        <f>775</f>
        <v>775</v>
      </c>
      <c r="C244" s="22">
        <f>775</f>
        <v>775</v>
      </c>
      <c r="D244" s="22">
        <f t="shared" si="6"/>
        <v>0</v>
      </c>
      <c r="E244" s="23">
        <f t="shared" si="7"/>
        <v>1</v>
      </c>
      <c r="F244">
        <v>775</v>
      </c>
    </row>
    <row r="245" spans="1:7" x14ac:dyDescent="0.35">
      <c r="A245" s="20" t="s">
        <v>236</v>
      </c>
      <c r="B245" s="22">
        <f>1607</f>
        <v>1607</v>
      </c>
      <c r="C245" s="22">
        <f>800</f>
        <v>800</v>
      </c>
      <c r="D245" s="22">
        <f t="shared" si="6"/>
        <v>807</v>
      </c>
      <c r="E245" s="23">
        <f t="shared" si="7"/>
        <v>2.00875</v>
      </c>
      <c r="F245" s="59">
        <v>900</v>
      </c>
      <c r="G245" t="s">
        <v>440</v>
      </c>
    </row>
    <row r="246" spans="1:7" x14ac:dyDescent="0.35">
      <c r="A246" s="20" t="s">
        <v>237</v>
      </c>
      <c r="B246" s="24">
        <f>((((((B239)+(B240))+(B241))+(B242))+(B243))+(B244))+(B245)</f>
        <v>7834.04</v>
      </c>
      <c r="C246" s="24">
        <f>((((((C239)+(C240))+(C241))+(C242))+(C243))+(C244))+(C245)</f>
        <v>5780</v>
      </c>
      <c r="D246" s="24">
        <f t="shared" si="6"/>
        <v>2054.04</v>
      </c>
      <c r="E246" s="25">
        <f t="shared" si="7"/>
        <v>1.3553702422145328</v>
      </c>
    </row>
    <row r="247" spans="1:7" x14ac:dyDescent="0.35">
      <c r="A247" s="20" t="s">
        <v>238</v>
      </c>
      <c r="B247" s="24">
        <f>((((B227)+(B228))+(B229))+(B238))+(B246)</f>
        <v>37625.74</v>
      </c>
      <c r="C247" s="24">
        <f>((((C227)+(C228))+(C229))+(C238))+(C246)</f>
        <v>32675</v>
      </c>
      <c r="D247" s="24">
        <f t="shared" si="6"/>
        <v>4950.739999999998</v>
      </c>
      <c r="E247" s="25">
        <f t="shared" si="7"/>
        <v>1.1515146136189747</v>
      </c>
    </row>
    <row r="248" spans="1:7" x14ac:dyDescent="0.35">
      <c r="A248" s="20" t="s">
        <v>239</v>
      </c>
      <c r="B248" s="21"/>
      <c r="C248" s="21"/>
      <c r="D248" s="22">
        <f t="shared" si="6"/>
        <v>0</v>
      </c>
      <c r="E248" s="23" t="str">
        <f t="shared" si="7"/>
        <v/>
      </c>
    </row>
    <row r="249" spans="1:7" x14ac:dyDescent="0.35">
      <c r="A249" s="20" t="s">
        <v>240</v>
      </c>
      <c r="B249" s="21"/>
      <c r="C249" s="21"/>
      <c r="D249" s="22">
        <f t="shared" si="6"/>
        <v>0</v>
      </c>
      <c r="E249" s="23" t="str">
        <f t="shared" si="7"/>
        <v/>
      </c>
    </row>
    <row r="250" spans="1:7" x14ac:dyDescent="0.35">
      <c r="A250" s="20" t="s">
        <v>241</v>
      </c>
      <c r="B250" s="21"/>
      <c r="C250" s="22">
        <f>6600</f>
        <v>6600</v>
      </c>
      <c r="D250" s="22">
        <f t="shared" si="6"/>
        <v>-6600</v>
      </c>
      <c r="E250" s="23">
        <f t="shared" si="7"/>
        <v>0</v>
      </c>
      <c r="F250">
        <v>6600</v>
      </c>
    </row>
    <row r="251" spans="1:7" x14ac:dyDescent="0.35">
      <c r="A251" s="20" t="s">
        <v>242</v>
      </c>
      <c r="B251" s="21"/>
      <c r="C251" s="22">
        <f>600</f>
        <v>600</v>
      </c>
      <c r="D251" s="22">
        <f t="shared" si="6"/>
        <v>-600</v>
      </c>
      <c r="E251" s="23">
        <f t="shared" si="7"/>
        <v>0</v>
      </c>
      <c r="F251">
        <v>600</v>
      </c>
    </row>
    <row r="252" spans="1:7" x14ac:dyDescent="0.35">
      <c r="A252" s="20" t="s">
        <v>243</v>
      </c>
      <c r="B252" s="22">
        <f>4674</f>
        <v>4674</v>
      </c>
      <c r="C252" s="22">
        <f>5420</f>
        <v>5420</v>
      </c>
      <c r="D252" s="22">
        <f t="shared" si="6"/>
        <v>-746</v>
      </c>
      <c r="E252" s="23">
        <f t="shared" si="7"/>
        <v>0.86236162361623614</v>
      </c>
      <c r="F252">
        <v>5400</v>
      </c>
    </row>
    <row r="253" spans="1:7" x14ac:dyDescent="0.35">
      <c r="A253" s="20" t="s">
        <v>244</v>
      </c>
      <c r="B253" s="22">
        <f>5820.8</f>
        <v>5820.8</v>
      </c>
      <c r="C253" s="22">
        <f>6000</f>
        <v>6000</v>
      </c>
      <c r="D253" s="22">
        <f t="shared" si="6"/>
        <v>-179.19999999999982</v>
      </c>
      <c r="E253" s="23">
        <f t="shared" si="7"/>
        <v>0.9701333333333334</v>
      </c>
      <c r="F253" s="59">
        <v>6000</v>
      </c>
    </row>
    <row r="254" spans="1:7" x14ac:dyDescent="0.35">
      <c r="A254" s="20" t="s">
        <v>245</v>
      </c>
      <c r="B254" s="21"/>
      <c r="C254" s="22">
        <f>300</f>
        <v>300</v>
      </c>
      <c r="D254" s="22">
        <f t="shared" si="6"/>
        <v>-300</v>
      </c>
      <c r="E254" s="23">
        <f t="shared" si="7"/>
        <v>0</v>
      </c>
      <c r="F254" s="59">
        <v>300</v>
      </c>
    </row>
    <row r="255" spans="1:7" x14ac:dyDescent="0.35">
      <c r="A255" s="20" t="s">
        <v>246</v>
      </c>
      <c r="B255" s="22">
        <f>250</f>
        <v>250</v>
      </c>
      <c r="C255" s="22">
        <f>750</f>
        <v>750</v>
      </c>
      <c r="D255" s="22">
        <f t="shared" si="6"/>
        <v>-500</v>
      </c>
      <c r="E255" s="23">
        <f t="shared" si="7"/>
        <v>0.33333333333333331</v>
      </c>
      <c r="F255" s="59">
        <v>900</v>
      </c>
    </row>
    <row r="256" spans="1:7" x14ac:dyDescent="0.35">
      <c r="A256" s="20" t="s">
        <v>247</v>
      </c>
      <c r="B256" s="21"/>
      <c r="C256" s="22">
        <f>200</f>
        <v>200</v>
      </c>
      <c r="D256" s="22">
        <f t="shared" si="6"/>
        <v>-200</v>
      </c>
      <c r="E256" s="23">
        <f t="shared" si="7"/>
        <v>0</v>
      </c>
      <c r="F256" s="59">
        <v>200</v>
      </c>
    </row>
    <row r="257" spans="1:6" x14ac:dyDescent="0.35">
      <c r="A257" s="20" t="s">
        <v>248</v>
      </c>
      <c r="B257" s="22">
        <f>1500</f>
        <v>1500</v>
      </c>
      <c r="C257" s="22">
        <f>1550</f>
        <v>1550</v>
      </c>
      <c r="D257" s="22">
        <f t="shared" si="6"/>
        <v>-50</v>
      </c>
      <c r="E257" s="23">
        <f t="shared" si="7"/>
        <v>0.967741935483871</v>
      </c>
      <c r="F257" s="59">
        <v>1500</v>
      </c>
    </row>
    <row r="258" spans="1:6" x14ac:dyDescent="0.35">
      <c r="A258" s="20" t="s">
        <v>249</v>
      </c>
      <c r="B258" s="22">
        <f>4725</f>
        <v>4725</v>
      </c>
      <c r="C258" s="22">
        <f>5000</f>
        <v>5000</v>
      </c>
      <c r="D258" s="22">
        <f t="shared" si="6"/>
        <v>-275</v>
      </c>
      <c r="E258" s="23">
        <f t="shared" si="7"/>
        <v>0.94499999999999995</v>
      </c>
      <c r="F258" s="59">
        <v>5000</v>
      </c>
    </row>
    <row r="259" spans="1:6" x14ac:dyDescent="0.35">
      <c r="A259" s="20" t="s">
        <v>250</v>
      </c>
      <c r="B259" s="24">
        <f>(((((((((B249)+(B250))+(B251))+(B252))+(B253))+(B254))+(B255))+(B256))+(B257))+(B258)</f>
        <v>16969.8</v>
      </c>
      <c r="C259" s="24">
        <f>(((((((((C249)+(C250))+(C251))+(C252))+(C253))+(C254))+(C255))+(C256))+(C257))+(C258)</f>
        <v>26420</v>
      </c>
      <c r="D259" s="24">
        <f t="shared" si="6"/>
        <v>-9450.2000000000007</v>
      </c>
      <c r="E259" s="25">
        <f t="shared" si="7"/>
        <v>0.6423088569265708</v>
      </c>
    </row>
    <row r="260" spans="1:6" x14ac:dyDescent="0.35">
      <c r="A260" s="20" t="s">
        <v>251</v>
      </c>
      <c r="B260" s="21"/>
      <c r="C260" s="21"/>
      <c r="D260" s="22">
        <f t="shared" si="6"/>
        <v>0</v>
      </c>
      <c r="E260" s="23" t="str">
        <f t="shared" si="7"/>
        <v/>
      </c>
    </row>
    <row r="261" spans="1:6" x14ac:dyDescent="0.35">
      <c r="A261" s="20" t="s">
        <v>252</v>
      </c>
      <c r="B261" s="21"/>
      <c r="C261" s="22">
        <f>3200</f>
        <v>3200</v>
      </c>
      <c r="D261" s="22">
        <f t="shared" si="6"/>
        <v>-3200</v>
      </c>
      <c r="E261" s="23">
        <f t="shared" si="7"/>
        <v>0</v>
      </c>
      <c r="F261">
        <v>3200</v>
      </c>
    </row>
    <row r="262" spans="1:6" x14ac:dyDescent="0.35">
      <c r="A262" s="20" t="s">
        <v>253</v>
      </c>
      <c r="B262" s="22">
        <f>600</f>
        <v>600</v>
      </c>
      <c r="C262" s="22">
        <f>450</f>
        <v>450</v>
      </c>
      <c r="D262" s="22">
        <f t="shared" si="6"/>
        <v>150</v>
      </c>
      <c r="E262" s="23">
        <f t="shared" si="7"/>
        <v>1.3333333333333333</v>
      </c>
      <c r="F262">
        <v>600</v>
      </c>
    </row>
    <row r="263" spans="1:6" x14ac:dyDescent="0.35">
      <c r="A263" s="20" t="s">
        <v>254</v>
      </c>
      <c r="B263" s="21"/>
      <c r="C263" s="22">
        <f>2860</f>
        <v>2860</v>
      </c>
      <c r="D263" s="22">
        <f t="shared" ref="D263:D328" si="8">(B263)-(C263)</f>
        <v>-2860</v>
      </c>
      <c r="E263" s="23">
        <f t="shared" ref="E263:E328" si="9">IF(C263=0,"",(B263)/(C263))</f>
        <v>0</v>
      </c>
      <c r="F263">
        <v>2800</v>
      </c>
    </row>
    <row r="264" spans="1:6" x14ac:dyDescent="0.35">
      <c r="A264" s="20" t="s">
        <v>255</v>
      </c>
      <c r="B264" s="22">
        <f>5820.8</f>
        <v>5820.8</v>
      </c>
      <c r="C264" s="22">
        <f>6000</f>
        <v>6000</v>
      </c>
      <c r="D264" s="22">
        <f t="shared" si="8"/>
        <v>-179.19999999999982</v>
      </c>
      <c r="E264" s="23">
        <f t="shared" si="9"/>
        <v>0.9701333333333334</v>
      </c>
      <c r="F264">
        <v>6000</v>
      </c>
    </row>
    <row r="265" spans="1:6" x14ac:dyDescent="0.35">
      <c r="A265" s="20" t="s">
        <v>256</v>
      </c>
      <c r="B265" s="21"/>
      <c r="C265" s="22">
        <f>300</f>
        <v>300</v>
      </c>
      <c r="D265" s="22">
        <f t="shared" si="8"/>
        <v>-300</v>
      </c>
      <c r="E265" s="23">
        <f t="shared" si="9"/>
        <v>0</v>
      </c>
      <c r="F265">
        <v>300</v>
      </c>
    </row>
    <row r="266" spans="1:6" x14ac:dyDescent="0.35">
      <c r="A266" s="20" t="s">
        <v>257</v>
      </c>
      <c r="B266" s="21"/>
      <c r="C266" s="22">
        <f>375</f>
        <v>375</v>
      </c>
      <c r="D266" s="22">
        <f t="shared" si="8"/>
        <v>-375</v>
      </c>
      <c r="E266" s="23">
        <f t="shared" si="9"/>
        <v>0</v>
      </c>
      <c r="F266">
        <v>450</v>
      </c>
    </row>
    <row r="267" spans="1:6" x14ac:dyDescent="0.35">
      <c r="A267" s="20" t="s">
        <v>258</v>
      </c>
      <c r="B267" s="21"/>
      <c r="C267" s="22">
        <f>200</f>
        <v>200</v>
      </c>
      <c r="D267" s="22">
        <f t="shared" si="8"/>
        <v>-200</v>
      </c>
      <c r="E267" s="23">
        <f t="shared" si="9"/>
        <v>0</v>
      </c>
      <c r="F267" s="59">
        <v>200</v>
      </c>
    </row>
    <row r="268" spans="1:6" x14ac:dyDescent="0.35">
      <c r="A268" s="20" t="s">
        <v>259</v>
      </c>
      <c r="B268" s="22">
        <f>1500</f>
        <v>1500</v>
      </c>
      <c r="C268" s="22">
        <f>775</f>
        <v>775</v>
      </c>
      <c r="D268" s="22">
        <f t="shared" si="8"/>
        <v>725</v>
      </c>
      <c r="E268" s="23">
        <f t="shared" si="9"/>
        <v>1.935483870967742</v>
      </c>
      <c r="F268" s="59">
        <v>1500</v>
      </c>
    </row>
    <row r="269" spans="1:6" x14ac:dyDescent="0.35">
      <c r="A269" s="20" t="s">
        <v>260</v>
      </c>
      <c r="B269" s="22">
        <f>4725</f>
        <v>4725</v>
      </c>
      <c r="C269" s="22">
        <f>5000</f>
        <v>5000</v>
      </c>
      <c r="D269" s="22">
        <f t="shared" si="8"/>
        <v>-275</v>
      </c>
      <c r="E269" s="23">
        <f t="shared" si="9"/>
        <v>0.94499999999999995</v>
      </c>
      <c r="F269" s="59">
        <v>5000</v>
      </c>
    </row>
    <row r="270" spans="1:6" x14ac:dyDescent="0.35">
      <c r="A270" s="20" t="s">
        <v>261</v>
      </c>
      <c r="B270" s="24">
        <f>(((((((((B260)+(B261))+(B262))+(B263))+(B264))+(B265))+(B266))+(B267))+(B268))+(B269)</f>
        <v>12645.8</v>
      </c>
      <c r="C270" s="24">
        <f>(((((((((C260)+(C261))+(C262))+(C263))+(C264))+(C265))+(C266))+(C267))+(C268))+(C269)</f>
        <v>19160</v>
      </c>
      <c r="D270" s="24">
        <f t="shared" si="8"/>
        <v>-6514.2000000000007</v>
      </c>
      <c r="E270" s="25">
        <f t="shared" si="9"/>
        <v>0.66001043841336116</v>
      </c>
    </row>
    <row r="271" spans="1:6" x14ac:dyDescent="0.35">
      <c r="A271" s="20" t="s">
        <v>262</v>
      </c>
      <c r="B271" s="24">
        <f>((B248)+(B259))+(B270)</f>
        <v>29615.599999999999</v>
      </c>
      <c r="C271" s="24">
        <f>((C248)+(C259))+(C270)</f>
        <v>45580</v>
      </c>
      <c r="D271" s="24">
        <f t="shared" si="8"/>
        <v>-15964.400000000001</v>
      </c>
      <c r="E271" s="25">
        <f t="shared" si="9"/>
        <v>0.64974989030276431</v>
      </c>
    </row>
    <row r="272" spans="1:6" x14ac:dyDescent="0.35">
      <c r="A272" s="20" t="s">
        <v>412</v>
      </c>
      <c r="B272" s="21"/>
      <c r="C272" s="21"/>
      <c r="D272" s="22">
        <f t="shared" si="8"/>
        <v>0</v>
      </c>
      <c r="E272" s="23" t="str">
        <f t="shared" si="9"/>
        <v/>
      </c>
    </row>
    <row r="273" spans="1:7" x14ac:dyDescent="0.35">
      <c r="A273" s="20" t="s">
        <v>413</v>
      </c>
      <c r="B273" s="21"/>
      <c r="C273" s="22">
        <f>14000</f>
        <v>14000</v>
      </c>
      <c r="D273" s="22">
        <f t="shared" si="8"/>
        <v>-14000</v>
      </c>
      <c r="E273" s="23">
        <f t="shared" si="9"/>
        <v>0</v>
      </c>
      <c r="F273">
        <v>14000</v>
      </c>
    </row>
    <row r="274" spans="1:7" x14ac:dyDescent="0.35">
      <c r="A274" s="20" t="s">
        <v>414</v>
      </c>
      <c r="B274" s="21"/>
      <c r="C274" s="22">
        <f>2000</f>
        <v>2000</v>
      </c>
      <c r="D274" s="22">
        <f t="shared" si="8"/>
        <v>-2000</v>
      </c>
      <c r="E274" s="23">
        <f t="shared" si="9"/>
        <v>0</v>
      </c>
      <c r="F274">
        <v>2000</v>
      </c>
    </row>
    <row r="275" spans="1:7" x14ac:dyDescent="0.35">
      <c r="A275" s="20" t="s">
        <v>415</v>
      </c>
      <c r="B275" s="22">
        <f>5391</f>
        <v>5391</v>
      </c>
      <c r="C275" s="22">
        <f>34000</f>
        <v>34000</v>
      </c>
      <c r="D275" s="22">
        <f t="shared" si="8"/>
        <v>-28609</v>
      </c>
      <c r="E275" s="23">
        <f t="shared" si="9"/>
        <v>0.15855882352941175</v>
      </c>
      <c r="F275">
        <v>48000</v>
      </c>
    </row>
    <row r="276" spans="1:7" x14ac:dyDescent="0.35">
      <c r="A276" s="20" t="s">
        <v>416</v>
      </c>
      <c r="B276" s="22">
        <f>968.2</f>
        <v>968.2</v>
      </c>
      <c r="C276" s="22">
        <f>60000</f>
        <v>60000</v>
      </c>
      <c r="D276" s="22">
        <f t="shared" si="8"/>
        <v>-59031.8</v>
      </c>
      <c r="E276" s="23">
        <f t="shared" si="9"/>
        <v>1.6136666666666667E-2</v>
      </c>
      <c r="F276">
        <v>60000</v>
      </c>
    </row>
    <row r="277" spans="1:7" x14ac:dyDescent="0.35">
      <c r="A277" s="20" t="s">
        <v>417</v>
      </c>
      <c r="B277" s="22">
        <f>28.88</f>
        <v>28.88</v>
      </c>
      <c r="C277" s="22">
        <f>400</f>
        <v>400</v>
      </c>
      <c r="D277" s="22">
        <f t="shared" si="8"/>
        <v>-371.12</v>
      </c>
      <c r="E277" s="23">
        <f t="shared" si="9"/>
        <v>7.22E-2</v>
      </c>
      <c r="F277" s="59">
        <v>400</v>
      </c>
    </row>
    <row r="278" spans="1:7" x14ac:dyDescent="0.35">
      <c r="A278" s="20" t="s">
        <v>418</v>
      </c>
      <c r="B278" s="21"/>
      <c r="C278" s="22">
        <f>2000</f>
        <v>2000</v>
      </c>
      <c r="D278" s="22">
        <f t="shared" si="8"/>
        <v>-2000</v>
      </c>
      <c r="E278" s="23">
        <f t="shared" si="9"/>
        <v>0</v>
      </c>
      <c r="F278">
        <v>2000</v>
      </c>
    </row>
    <row r="279" spans="1:7" x14ac:dyDescent="0.35">
      <c r="A279" s="20" t="s">
        <v>419</v>
      </c>
      <c r="B279" s="21"/>
      <c r="C279" s="22">
        <f>750</f>
        <v>750</v>
      </c>
      <c r="D279" s="22">
        <f t="shared" si="8"/>
        <v>-750</v>
      </c>
      <c r="E279" s="23">
        <f t="shared" si="9"/>
        <v>0</v>
      </c>
      <c r="F279">
        <v>750</v>
      </c>
    </row>
    <row r="280" spans="1:7" x14ac:dyDescent="0.35">
      <c r="A280" s="20" t="s">
        <v>420</v>
      </c>
      <c r="B280" s="21"/>
      <c r="C280" s="22">
        <f>14000</f>
        <v>14000</v>
      </c>
      <c r="D280" s="22">
        <f t="shared" si="8"/>
        <v>-14000</v>
      </c>
      <c r="E280" s="23">
        <f t="shared" si="9"/>
        <v>0</v>
      </c>
      <c r="F280">
        <v>16000</v>
      </c>
    </row>
    <row r="281" spans="1:7" x14ac:dyDescent="0.35">
      <c r="A281" s="20" t="s">
        <v>421</v>
      </c>
      <c r="B281" s="22">
        <f>60708.28</f>
        <v>60708.28</v>
      </c>
      <c r="C281" s="22">
        <f>45000</f>
        <v>45000</v>
      </c>
      <c r="D281" s="22">
        <f t="shared" si="8"/>
        <v>15708.279999999999</v>
      </c>
      <c r="E281" s="23">
        <f t="shared" si="9"/>
        <v>1.3490728888888888</v>
      </c>
      <c r="F281">
        <v>65000</v>
      </c>
    </row>
    <row r="282" spans="1:7" x14ac:dyDescent="0.35">
      <c r="A282" s="20" t="s">
        <v>422</v>
      </c>
      <c r="B282" s="24">
        <f>(((((((((B272)+(B273))+(B274))+(B275))+(B276))+(B277))+(B278))+(B279))+(B280))+(B281)</f>
        <v>67096.36</v>
      </c>
      <c r="C282" s="24">
        <f>(((((((((C272)+(C273))+(C274))+(C275))+(C276))+(C277))+(C278))+(C279))+(C280))+(C281)</f>
        <v>172150</v>
      </c>
      <c r="D282" s="24">
        <f t="shared" si="8"/>
        <v>-105053.64</v>
      </c>
      <c r="E282" s="25">
        <f t="shared" si="9"/>
        <v>0.38975521347661923</v>
      </c>
    </row>
    <row r="283" spans="1:7" x14ac:dyDescent="0.35">
      <c r="A283" s="20" t="s">
        <v>423</v>
      </c>
      <c r="B283" s="21"/>
      <c r="C283" s="22">
        <f>500</f>
        <v>500</v>
      </c>
      <c r="D283" s="22">
        <f t="shared" si="8"/>
        <v>-500</v>
      </c>
      <c r="E283" s="23">
        <f t="shared" si="9"/>
        <v>0</v>
      </c>
      <c r="F283">
        <v>0</v>
      </c>
    </row>
    <row r="284" spans="1:7" x14ac:dyDescent="0.35">
      <c r="A284" s="20" t="s">
        <v>273</v>
      </c>
      <c r="B284" s="21"/>
      <c r="C284" s="21"/>
      <c r="D284" s="22">
        <f t="shared" si="8"/>
        <v>0</v>
      </c>
      <c r="E284" s="23" t="str">
        <f t="shared" si="9"/>
        <v/>
      </c>
    </row>
    <row r="285" spans="1:7" x14ac:dyDescent="0.35">
      <c r="A285" s="20" t="s">
        <v>424</v>
      </c>
      <c r="B285" s="22">
        <f>11591.4</f>
        <v>11591.4</v>
      </c>
      <c r="C285" s="22">
        <f>5500</f>
        <v>5500</v>
      </c>
      <c r="D285" s="22">
        <f t="shared" si="8"/>
        <v>6091.4</v>
      </c>
      <c r="E285" s="23">
        <f t="shared" si="9"/>
        <v>2.1075272727272725</v>
      </c>
    </row>
    <row r="286" spans="1:7" x14ac:dyDescent="0.35">
      <c r="A286" s="20" t="s">
        <v>425</v>
      </c>
      <c r="B286" s="21"/>
      <c r="C286" s="22">
        <f>600</f>
        <v>600</v>
      </c>
      <c r="D286" s="22">
        <f t="shared" si="8"/>
        <v>-600</v>
      </c>
      <c r="E286" s="23">
        <f t="shared" si="9"/>
        <v>0</v>
      </c>
    </row>
    <row r="287" spans="1:7" x14ac:dyDescent="0.35">
      <c r="A287" s="20" t="s">
        <v>396</v>
      </c>
      <c r="B287" s="24">
        <f>(B285)+(B286)</f>
        <v>11591.4</v>
      </c>
      <c r="C287" s="24">
        <f>(C285)+(C286)</f>
        <v>6100</v>
      </c>
      <c r="D287" s="24">
        <f t="shared" si="8"/>
        <v>5491.4</v>
      </c>
      <c r="E287" s="25">
        <f t="shared" si="9"/>
        <v>1.9002295081967213</v>
      </c>
      <c r="F287">
        <v>0</v>
      </c>
      <c r="G287" t="s">
        <v>447</v>
      </c>
    </row>
    <row r="288" spans="1:7" x14ac:dyDescent="0.35">
      <c r="A288" s="20" t="s">
        <v>442</v>
      </c>
      <c r="B288" s="60"/>
      <c r="C288" s="60"/>
      <c r="D288" s="60"/>
      <c r="E288" s="61"/>
      <c r="F288">
        <v>9000</v>
      </c>
    </row>
    <row r="289" spans="1:6" x14ac:dyDescent="0.35">
      <c r="A289" s="20" t="s">
        <v>443</v>
      </c>
      <c r="B289" s="60"/>
      <c r="C289" s="60"/>
      <c r="D289" s="60"/>
      <c r="E289" s="61"/>
      <c r="F289">
        <v>1500</v>
      </c>
    </row>
    <row r="290" spans="1:6" x14ac:dyDescent="0.35">
      <c r="A290" s="20" t="s">
        <v>444</v>
      </c>
      <c r="B290" s="60"/>
      <c r="C290" s="60"/>
      <c r="D290" s="60"/>
      <c r="E290" s="61"/>
      <c r="F290">
        <v>1000</v>
      </c>
    </row>
    <row r="291" spans="1:6" x14ac:dyDescent="0.35">
      <c r="A291" s="20" t="s">
        <v>445</v>
      </c>
      <c r="B291" s="60"/>
      <c r="C291" s="60"/>
      <c r="D291" s="60"/>
      <c r="E291" s="61"/>
      <c r="F291">
        <v>1400</v>
      </c>
    </row>
    <row r="292" spans="1:6" x14ac:dyDescent="0.35">
      <c r="A292" s="20" t="s">
        <v>274</v>
      </c>
      <c r="B292" s="22">
        <f>250</f>
        <v>250</v>
      </c>
      <c r="C292" s="22">
        <f>1000</f>
        <v>1000</v>
      </c>
      <c r="D292" s="22">
        <f t="shared" si="8"/>
        <v>-750</v>
      </c>
      <c r="E292" s="23">
        <f t="shared" si="9"/>
        <v>0.25</v>
      </c>
      <c r="F292">
        <v>1000</v>
      </c>
    </row>
    <row r="293" spans="1:6" x14ac:dyDescent="0.35">
      <c r="A293" s="20" t="s">
        <v>275</v>
      </c>
      <c r="B293" s="21"/>
      <c r="C293" s="22">
        <f>1000</f>
        <v>1000</v>
      </c>
      <c r="D293" s="22">
        <f t="shared" si="8"/>
        <v>-1000</v>
      </c>
      <c r="E293" s="23">
        <f t="shared" si="9"/>
        <v>0</v>
      </c>
      <c r="F293" s="59">
        <v>1000</v>
      </c>
    </row>
    <row r="294" spans="1:6" x14ac:dyDescent="0.35">
      <c r="A294" s="20" t="s">
        <v>276</v>
      </c>
      <c r="B294" s="24">
        <f>(((B284)+(B287))+(B292))+(B293)</f>
        <v>11841.4</v>
      </c>
      <c r="C294" s="24">
        <f>(((C284)+(C287))+(C292))+(C293)</f>
        <v>8100</v>
      </c>
      <c r="D294" s="24">
        <f t="shared" si="8"/>
        <v>3741.3999999999996</v>
      </c>
      <c r="E294" s="25">
        <f t="shared" si="9"/>
        <v>1.4619012345679012</v>
      </c>
    </row>
    <row r="295" spans="1:6" x14ac:dyDescent="0.35">
      <c r="A295" s="20" t="s">
        <v>277</v>
      </c>
      <c r="B295" s="24">
        <f>((((((((B187)+(B206))+(B216))+(B226))+(B247))+(B271))+(B282))+(B283))+(B294)</f>
        <v>194738.24000000002</v>
      </c>
      <c r="C295" s="24">
        <f>((((((((C187)+(C206))+(C216))+(C226))+(C247))+(C271))+(C282))+(C283))+(C294)</f>
        <v>402410</v>
      </c>
      <c r="D295" s="24">
        <f t="shared" si="8"/>
        <v>-207671.75999999998</v>
      </c>
      <c r="E295" s="25">
        <f t="shared" si="9"/>
        <v>0.48392992221863279</v>
      </c>
    </row>
    <row r="296" spans="1:6" x14ac:dyDescent="0.35">
      <c r="A296" s="20" t="s">
        <v>278</v>
      </c>
      <c r="B296" s="21"/>
      <c r="C296" s="21"/>
      <c r="D296" s="22">
        <f t="shared" si="8"/>
        <v>0</v>
      </c>
      <c r="E296" s="23" t="str">
        <f t="shared" si="9"/>
        <v/>
      </c>
    </row>
    <row r="297" spans="1:6" x14ac:dyDescent="0.35">
      <c r="A297" s="20" t="s">
        <v>292</v>
      </c>
      <c r="B297" s="21"/>
      <c r="C297" s="21"/>
      <c r="D297" s="22">
        <f t="shared" si="8"/>
        <v>0</v>
      </c>
      <c r="E297" s="23" t="str">
        <f t="shared" si="9"/>
        <v/>
      </c>
    </row>
    <row r="298" spans="1:6" x14ac:dyDescent="0.35">
      <c r="A298" s="20" t="s">
        <v>293</v>
      </c>
      <c r="B298" s="22">
        <f>15126.2</f>
        <v>15126.2</v>
      </c>
      <c r="C298" s="22">
        <f>16000</f>
        <v>16000</v>
      </c>
      <c r="D298" s="22">
        <f t="shared" si="8"/>
        <v>-873.79999999999927</v>
      </c>
      <c r="E298" s="23">
        <f t="shared" si="9"/>
        <v>0.94538750000000005</v>
      </c>
      <c r="F298">
        <v>18000</v>
      </c>
    </row>
    <row r="299" spans="1:6" x14ac:dyDescent="0.35">
      <c r="A299" s="20" t="s">
        <v>294</v>
      </c>
      <c r="B299" s="22">
        <f>12429.95</f>
        <v>12429.95</v>
      </c>
      <c r="C299" s="22">
        <f>12000</f>
        <v>12000</v>
      </c>
      <c r="D299" s="22">
        <f t="shared" si="8"/>
        <v>429.95000000000073</v>
      </c>
      <c r="E299" s="23">
        <f t="shared" si="9"/>
        <v>1.0358291666666668</v>
      </c>
      <c r="F299">
        <v>13000</v>
      </c>
    </row>
    <row r="300" spans="1:6" x14ac:dyDescent="0.35">
      <c r="A300" s="20" t="s">
        <v>295</v>
      </c>
      <c r="B300" s="22">
        <f>10897.4</f>
        <v>10897.4</v>
      </c>
      <c r="C300" s="22">
        <f>10000</f>
        <v>10000</v>
      </c>
      <c r="D300" s="22">
        <f t="shared" si="8"/>
        <v>897.39999999999964</v>
      </c>
      <c r="E300" s="23">
        <f t="shared" si="9"/>
        <v>1.0897399999999999</v>
      </c>
      <c r="F300">
        <v>11000</v>
      </c>
    </row>
    <row r="301" spans="1:6" x14ac:dyDescent="0.35">
      <c r="A301" s="20" t="s">
        <v>296</v>
      </c>
      <c r="B301" s="22">
        <f>5850</f>
        <v>5850</v>
      </c>
      <c r="C301" s="22">
        <f>5000</f>
        <v>5000</v>
      </c>
      <c r="D301" s="22">
        <f t="shared" si="8"/>
        <v>850</v>
      </c>
      <c r="E301" s="23">
        <f t="shared" si="9"/>
        <v>1.17</v>
      </c>
      <c r="F301">
        <v>6000</v>
      </c>
    </row>
    <row r="302" spans="1:6" x14ac:dyDescent="0.35">
      <c r="A302" s="20" t="s">
        <v>297</v>
      </c>
      <c r="B302" s="22">
        <f>1815</f>
        <v>1815</v>
      </c>
      <c r="C302" s="22">
        <f>1400</f>
        <v>1400</v>
      </c>
      <c r="D302" s="22">
        <f t="shared" si="8"/>
        <v>415</v>
      </c>
      <c r="E302" s="23">
        <f t="shared" si="9"/>
        <v>1.2964285714285715</v>
      </c>
      <c r="F302">
        <v>2000</v>
      </c>
    </row>
    <row r="303" spans="1:6" x14ac:dyDescent="0.35">
      <c r="A303" s="20" t="s">
        <v>298</v>
      </c>
      <c r="B303" s="22">
        <f>11146.75</f>
        <v>11146.75</v>
      </c>
      <c r="C303" s="22">
        <f>12000</f>
        <v>12000</v>
      </c>
      <c r="D303" s="22">
        <f t="shared" si="8"/>
        <v>-853.25</v>
      </c>
      <c r="E303" s="23">
        <f t="shared" si="9"/>
        <v>0.92889583333333337</v>
      </c>
      <c r="F303">
        <v>12000</v>
      </c>
    </row>
    <row r="304" spans="1:6" x14ac:dyDescent="0.35">
      <c r="A304" s="20" t="s">
        <v>299</v>
      </c>
      <c r="B304" s="22">
        <f>11992.72</f>
        <v>11992.72</v>
      </c>
      <c r="C304" s="22">
        <f>7000</f>
        <v>7000</v>
      </c>
      <c r="D304" s="22">
        <f t="shared" si="8"/>
        <v>4992.7199999999993</v>
      </c>
      <c r="E304" s="23">
        <f t="shared" si="9"/>
        <v>1.7132457142857143</v>
      </c>
      <c r="F304">
        <v>12000</v>
      </c>
    </row>
    <row r="305" spans="1:6" x14ac:dyDescent="0.35">
      <c r="A305" s="20" t="s">
        <v>300</v>
      </c>
      <c r="B305" s="22">
        <f>1750</f>
        <v>1750</v>
      </c>
      <c r="C305" s="21"/>
      <c r="D305" s="22">
        <f t="shared" si="8"/>
        <v>1750</v>
      </c>
      <c r="E305" s="23" t="str">
        <f t="shared" si="9"/>
        <v/>
      </c>
      <c r="F305">
        <v>2000</v>
      </c>
    </row>
    <row r="306" spans="1:6" x14ac:dyDescent="0.35">
      <c r="A306" s="20" t="s">
        <v>301</v>
      </c>
      <c r="B306" s="22">
        <f>2540</f>
        <v>2540</v>
      </c>
      <c r="C306" s="22">
        <f>2000</f>
        <v>2000</v>
      </c>
      <c r="D306" s="22">
        <f t="shared" si="8"/>
        <v>540</v>
      </c>
      <c r="E306" s="23">
        <f t="shared" si="9"/>
        <v>1.27</v>
      </c>
      <c r="F306">
        <v>2500</v>
      </c>
    </row>
    <row r="307" spans="1:6" x14ac:dyDescent="0.35">
      <c r="A307" s="20" t="s">
        <v>302</v>
      </c>
      <c r="B307" s="24">
        <f>(((((((((B297)+(B298))+(B299))+(B300))+(B301))+(B302))+(B303))+(B304))+(B305))+(B306)</f>
        <v>73548.02</v>
      </c>
      <c r="C307" s="24">
        <f>(((((((((C297)+(C298))+(C299))+(C300))+(C301))+(C302))+(C303))+(C304))+(C305))+(C306)</f>
        <v>65400</v>
      </c>
      <c r="D307" s="24">
        <f t="shared" si="8"/>
        <v>8148.0200000000041</v>
      </c>
      <c r="E307" s="25">
        <f t="shared" si="9"/>
        <v>1.1245874617737004</v>
      </c>
    </row>
    <row r="308" spans="1:6" x14ac:dyDescent="0.35">
      <c r="A308" s="20" t="s">
        <v>426</v>
      </c>
      <c r="B308" s="21"/>
      <c r="C308" s="21"/>
      <c r="D308" s="22">
        <f t="shared" si="8"/>
        <v>0</v>
      </c>
      <c r="E308" s="23" t="str">
        <f t="shared" si="9"/>
        <v/>
      </c>
    </row>
    <row r="309" spans="1:6" x14ac:dyDescent="0.35">
      <c r="A309" s="20" t="s">
        <v>303</v>
      </c>
      <c r="B309" s="21"/>
      <c r="C309" s="22">
        <f>625</f>
        <v>625</v>
      </c>
      <c r="D309" s="22">
        <f t="shared" si="8"/>
        <v>-625</v>
      </c>
      <c r="E309" s="23">
        <f t="shared" si="9"/>
        <v>0</v>
      </c>
      <c r="F309">
        <v>625</v>
      </c>
    </row>
    <row r="310" spans="1:6" x14ac:dyDescent="0.35">
      <c r="A310" s="20" t="s">
        <v>304</v>
      </c>
      <c r="B310" s="21"/>
      <c r="C310" s="22">
        <f>2000</f>
        <v>2000</v>
      </c>
      <c r="D310" s="22">
        <f t="shared" si="8"/>
        <v>-2000</v>
      </c>
      <c r="E310" s="23">
        <f t="shared" si="9"/>
        <v>0</v>
      </c>
      <c r="F310">
        <v>2000</v>
      </c>
    </row>
    <row r="311" spans="1:6" x14ac:dyDescent="0.35">
      <c r="A311" s="20" t="s">
        <v>305</v>
      </c>
      <c r="B311" s="22">
        <f>3986.3</f>
        <v>3986.3</v>
      </c>
      <c r="C311" s="22">
        <f>2900</f>
        <v>2900</v>
      </c>
      <c r="D311" s="22">
        <f t="shared" si="8"/>
        <v>1086.3000000000002</v>
      </c>
      <c r="E311" s="23">
        <f t="shared" si="9"/>
        <v>1.3745862068965518</v>
      </c>
      <c r="F311">
        <v>4600</v>
      </c>
    </row>
    <row r="312" spans="1:6" x14ac:dyDescent="0.35">
      <c r="A312" s="20" t="s">
        <v>306</v>
      </c>
      <c r="B312" s="22">
        <f>1639.57</f>
        <v>1639.57</v>
      </c>
      <c r="C312" s="22">
        <f>5600</f>
        <v>5600</v>
      </c>
      <c r="D312" s="22">
        <f t="shared" si="8"/>
        <v>-3960.4300000000003</v>
      </c>
      <c r="E312" s="23">
        <f t="shared" si="9"/>
        <v>0.29278035714285711</v>
      </c>
      <c r="F312">
        <v>6000</v>
      </c>
    </row>
    <row r="313" spans="1:6" x14ac:dyDescent="0.35">
      <c r="A313" s="20" t="s">
        <v>307</v>
      </c>
      <c r="B313" s="21"/>
      <c r="C313" s="22">
        <f>500</f>
        <v>500</v>
      </c>
      <c r="D313" s="22">
        <f t="shared" si="8"/>
        <v>-500</v>
      </c>
      <c r="E313" s="23">
        <f t="shared" si="9"/>
        <v>0</v>
      </c>
      <c r="F313">
        <v>900</v>
      </c>
    </row>
    <row r="314" spans="1:6" x14ac:dyDescent="0.35">
      <c r="A314" s="20" t="s">
        <v>308</v>
      </c>
      <c r="B314" s="21"/>
      <c r="C314" s="22">
        <f>300</f>
        <v>300</v>
      </c>
      <c r="D314" s="22">
        <f t="shared" si="8"/>
        <v>-300</v>
      </c>
      <c r="E314" s="23">
        <f t="shared" si="9"/>
        <v>0</v>
      </c>
      <c r="F314">
        <v>300</v>
      </c>
    </row>
    <row r="315" spans="1:6" x14ac:dyDescent="0.35">
      <c r="A315" s="20" t="s">
        <v>309</v>
      </c>
      <c r="B315" s="22">
        <f>2203.49</f>
        <v>2203.4899999999998</v>
      </c>
      <c r="C315" s="22">
        <f>25000</f>
        <v>25000</v>
      </c>
      <c r="D315" s="22">
        <f t="shared" si="8"/>
        <v>-22796.510000000002</v>
      </c>
      <c r="E315" s="23">
        <f t="shared" si="9"/>
        <v>8.8139599999999985E-2</v>
      </c>
      <c r="F315">
        <v>15000</v>
      </c>
    </row>
    <row r="316" spans="1:6" x14ac:dyDescent="0.35">
      <c r="A316" s="20" t="s">
        <v>427</v>
      </c>
      <c r="B316" s="24">
        <f>(((((((B308)+(B309))+(B310))+(B311))+(B312))+(B313))+(B314))+(B315)</f>
        <v>7829.36</v>
      </c>
      <c r="C316" s="24">
        <f>(((((((C308)+(C309))+(C310))+(C311))+(C312))+(C313))+(C314))+(C315)</f>
        <v>36925</v>
      </c>
      <c r="D316" s="24">
        <f t="shared" si="8"/>
        <v>-29095.64</v>
      </c>
      <c r="E316" s="25">
        <f t="shared" si="9"/>
        <v>0.21203412322274881</v>
      </c>
    </row>
    <row r="317" spans="1:6" x14ac:dyDescent="0.35">
      <c r="A317" s="20" t="s">
        <v>366</v>
      </c>
      <c r="B317" s="21"/>
      <c r="C317" s="21"/>
      <c r="D317" s="22">
        <f t="shared" si="8"/>
        <v>0</v>
      </c>
      <c r="E317" s="23" t="str">
        <f t="shared" si="9"/>
        <v/>
      </c>
    </row>
    <row r="318" spans="1:6" x14ac:dyDescent="0.35">
      <c r="A318" s="20" t="s">
        <v>368</v>
      </c>
      <c r="B318" s="22">
        <f>3870.3</f>
        <v>3870.3</v>
      </c>
      <c r="C318" s="21"/>
      <c r="D318" s="22">
        <f t="shared" si="8"/>
        <v>3870.3</v>
      </c>
      <c r="E318" s="23" t="str">
        <f t="shared" si="9"/>
        <v/>
      </c>
      <c r="F318">
        <v>0</v>
      </c>
    </row>
    <row r="319" spans="1:6" x14ac:dyDescent="0.35">
      <c r="A319" s="20" t="s">
        <v>379</v>
      </c>
      <c r="B319" s="24">
        <f>(B317)+(B318)</f>
        <v>3870.3</v>
      </c>
      <c r="C319" s="24">
        <f>(C317)+(C318)</f>
        <v>0</v>
      </c>
      <c r="D319" s="24">
        <f t="shared" si="8"/>
        <v>3870.3</v>
      </c>
      <c r="E319" s="25" t="str">
        <f t="shared" si="9"/>
        <v/>
      </c>
    </row>
    <row r="320" spans="1:6" x14ac:dyDescent="0.35">
      <c r="A320" s="20" t="s">
        <v>310</v>
      </c>
      <c r="B320" s="24">
        <f>(((B296)+(B307))+(B316))+(B319)</f>
        <v>85247.680000000008</v>
      </c>
      <c r="C320" s="24">
        <f>(((C296)+(C307))+(C316))+(C319)</f>
        <v>102325</v>
      </c>
      <c r="D320" s="24">
        <f t="shared" si="8"/>
        <v>-17077.319999999992</v>
      </c>
      <c r="E320" s="25">
        <f t="shared" si="9"/>
        <v>0.83310706083557295</v>
      </c>
    </row>
    <row r="321" spans="1:6" x14ac:dyDescent="0.35">
      <c r="A321" s="20" t="s">
        <v>311</v>
      </c>
      <c r="B321" s="24">
        <f>(((((B131)+(B178))+(B179))+(B186))+(B295))+(B320)</f>
        <v>465962.77000000008</v>
      </c>
      <c r="C321" s="24">
        <f>(((((C131)+(C178))+(C179))+(C186))+(C295))+(C320)</f>
        <v>699635</v>
      </c>
      <c r="D321" s="24">
        <f t="shared" si="8"/>
        <v>-233672.22999999992</v>
      </c>
      <c r="E321" s="25">
        <f t="shared" si="9"/>
        <v>0.66600837579595085</v>
      </c>
    </row>
    <row r="322" spans="1:6" x14ac:dyDescent="0.35">
      <c r="A322" s="20" t="s">
        <v>312</v>
      </c>
      <c r="B322" s="21"/>
      <c r="C322" s="21"/>
      <c r="D322" s="22">
        <f t="shared" si="8"/>
        <v>0</v>
      </c>
      <c r="E322" s="23" t="str">
        <f t="shared" si="9"/>
        <v/>
      </c>
    </row>
    <row r="323" spans="1:6" x14ac:dyDescent="0.35">
      <c r="A323" s="20" t="s">
        <v>313</v>
      </c>
      <c r="B323" s="22">
        <f>750</f>
        <v>750</v>
      </c>
      <c r="C323" s="22">
        <f>600</f>
        <v>600</v>
      </c>
      <c r="D323" s="22">
        <f t="shared" si="8"/>
        <v>150</v>
      </c>
      <c r="E323" s="23">
        <f t="shared" si="9"/>
        <v>1.25</v>
      </c>
      <c r="F323">
        <v>750</v>
      </c>
    </row>
    <row r="324" spans="1:6" x14ac:dyDescent="0.35">
      <c r="A324" s="20" t="s">
        <v>314</v>
      </c>
      <c r="B324" s="24">
        <f>(B322)+(B323)</f>
        <v>750</v>
      </c>
      <c r="C324" s="24">
        <f>(C322)+(C323)</f>
        <v>600</v>
      </c>
      <c r="D324" s="24">
        <f t="shared" si="8"/>
        <v>150</v>
      </c>
      <c r="E324" s="25">
        <f t="shared" si="9"/>
        <v>1.25</v>
      </c>
    </row>
    <row r="325" spans="1:6" x14ac:dyDescent="0.35">
      <c r="A325" s="20" t="s">
        <v>315</v>
      </c>
      <c r="B325" s="22">
        <f>13500</f>
        <v>13500</v>
      </c>
      <c r="C325" s="22">
        <f>16800</f>
        <v>16800</v>
      </c>
      <c r="D325" s="22">
        <f t="shared" si="8"/>
        <v>-3300</v>
      </c>
      <c r="E325" s="23">
        <f t="shared" si="9"/>
        <v>0.8035714285714286</v>
      </c>
      <c r="F325" s="59">
        <v>16800</v>
      </c>
    </row>
    <row r="326" spans="1:6" x14ac:dyDescent="0.35">
      <c r="A326" s="20" t="s">
        <v>316</v>
      </c>
      <c r="B326" s="22">
        <f>2726.06</f>
        <v>2726.06</v>
      </c>
      <c r="C326" s="22">
        <f>4000</f>
        <v>4000</v>
      </c>
      <c r="D326" s="22">
        <f t="shared" si="8"/>
        <v>-1273.94</v>
      </c>
      <c r="E326" s="23">
        <f t="shared" si="9"/>
        <v>0.68151499999999998</v>
      </c>
      <c r="F326">
        <v>4000</v>
      </c>
    </row>
    <row r="327" spans="1:6" x14ac:dyDescent="0.35">
      <c r="A327" s="20" t="s">
        <v>317</v>
      </c>
      <c r="B327" s="24">
        <f>(((((((((((B83)+(B84))+(B85))+(B102))+(B117))+(B120))+(B124))+(B130))+(B321))+(B324))+(B325))+(B326)</f>
        <v>606746.92000000016</v>
      </c>
      <c r="C327" s="24">
        <f>(((((((((((C83)+(C84))+(C85))+(C102))+(C117))+(C120))+(C124))+(C130))+(C321))+(C324))+(C325))+(C326)</f>
        <v>858700</v>
      </c>
      <c r="D327" s="24">
        <f t="shared" si="8"/>
        <v>-251953.07999999984</v>
      </c>
      <c r="E327" s="25">
        <f t="shared" si="9"/>
        <v>0.70658777221381175</v>
      </c>
      <c r="F327">
        <f>SUM(F73:F326)</f>
        <v>923391.25</v>
      </c>
    </row>
    <row r="328" spans="1:6" x14ac:dyDescent="0.35">
      <c r="A328" s="20" t="s">
        <v>318</v>
      </c>
      <c r="B328" s="24">
        <f>(B69)-(B327)</f>
        <v>289971.3899999999</v>
      </c>
      <c r="C328" s="24">
        <f>(C69)-(C327)</f>
        <v>12292</v>
      </c>
      <c r="D328" s="24">
        <f t="shared" si="8"/>
        <v>277679.3899999999</v>
      </c>
      <c r="E328" s="25">
        <f t="shared" si="9"/>
        <v>23.590253010087853</v>
      </c>
    </row>
    <row r="329" spans="1:6" x14ac:dyDescent="0.35">
      <c r="A329" s="20" t="s">
        <v>428</v>
      </c>
      <c r="B329" s="21"/>
      <c r="C329" s="21"/>
      <c r="D329" s="21"/>
      <c r="E329" s="21"/>
    </row>
    <row r="330" spans="1:6" x14ac:dyDescent="0.35">
      <c r="A330" s="20" t="s">
        <v>429</v>
      </c>
      <c r="B330" s="22">
        <f>-277.84</f>
        <v>-277.83999999999997</v>
      </c>
      <c r="C330" s="21"/>
      <c r="D330" s="22">
        <f>(B330)-(C330)</f>
        <v>-277.83999999999997</v>
      </c>
      <c r="E330" s="23" t="str">
        <f>IF(C330=0,"",(B330)/(C330))</f>
        <v/>
      </c>
    </row>
    <row r="331" spans="1:6" x14ac:dyDescent="0.35">
      <c r="A331" s="20" t="s">
        <v>430</v>
      </c>
      <c r="B331" s="24">
        <f>B330</f>
        <v>-277.83999999999997</v>
      </c>
      <c r="C331" s="24">
        <f>C330</f>
        <v>0</v>
      </c>
      <c r="D331" s="24">
        <f>(B331)-(C331)</f>
        <v>-277.83999999999997</v>
      </c>
      <c r="E331" s="25" t="str">
        <f>IF(C331=0,"",(B331)/(C331))</f>
        <v/>
      </c>
    </row>
    <row r="332" spans="1:6" x14ac:dyDescent="0.35">
      <c r="A332" s="20" t="s">
        <v>431</v>
      </c>
      <c r="B332" s="24">
        <f>(0)-(B331)</f>
        <v>277.83999999999997</v>
      </c>
      <c r="C332" s="24">
        <f>(0)-(C331)</f>
        <v>0</v>
      </c>
      <c r="D332" s="24">
        <f>(B332)-(C332)</f>
        <v>277.83999999999997</v>
      </c>
      <c r="E332" s="25" t="str">
        <f>IF(C332=0,"",(B332)/(C332))</f>
        <v/>
      </c>
    </row>
    <row r="333" spans="1:6" x14ac:dyDescent="0.35">
      <c r="A333" s="20" t="s">
        <v>319</v>
      </c>
      <c r="B333" s="24">
        <f>(B328)+(B332)</f>
        <v>290249.22999999992</v>
      </c>
      <c r="C333" s="24">
        <f>(C328)+(C332)</f>
        <v>12292</v>
      </c>
      <c r="D333" s="24">
        <f>(B333)-(C333)</f>
        <v>277957.22999999992</v>
      </c>
      <c r="E333" s="25">
        <f>IF(C333=0,"",(B333)/(C333))</f>
        <v>23.612856329319875</v>
      </c>
      <c r="F333">
        <f>F68-F327</f>
        <v>19838.75</v>
      </c>
    </row>
    <row r="334" spans="1:6" x14ac:dyDescent="0.35">
      <c r="A334" s="20"/>
      <c r="B334" s="21"/>
      <c r="C334" s="21"/>
      <c r="D334" s="21"/>
      <c r="E334" s="21"/>
      <c r="F334" s="12"/>
    </row>
    <row r="337" spans="1:5" x14ac:dyDescent="0.35">
      <c r="A337" s="47" t="s">
        <v>432</v>
      </c>
      <c r="B337" s="46"/>
      <c r="C337" s="46"/>
      <c r="D337" s="46"/>
      <c r="E337" s="46"/>
    </row>
    <row r="338" spans="1:5" x14ac:dyDescent="0.35">
      <c r="A338" s="20"/>
      <c r="B338" s="24"/>
      <c r="C338" s="24"/>
      <c r="D338" s="24"/>
      <c r="E338" s="25"/>
    </row>
    <row r="339" spans="1:5" x14ac:dyDescent="0.35">
      <c r="A339" s="20"/>
      <c r="B339" s="21"/>
      <c r="C339" s="21"/>
      <c r="D339" s="21"/>
      <c r="E339" s="21"/>
    </row>
    <row r="342" spans="1:5" x14ac:dyDescent="0.35">
      <c r="A342" s="47"/>
      <c r="B342" s="46"/>
      <c r="C342" s="46"/>
      <c r="D342" s="46"/>
      <c r="E342" s="46"/>
    </row>
  </sheetData>
  <mergeCells count="6">
    <mergeCell ref="B5:E5"/>
    <mergeCell ref="A2:E2"/>
    <mergeCell ref="A3:E3"/>
    <mergeCell ref="A1:E1"/>
    <mergeCell ref="A342:E342"/>
    <mergeCell ref="A337:E337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C23D-CA94-4056-BE3F-5FFD3A485CE4}">
  <dimension ref="A1:F35"/>
  <sheetViews>
    <sheetView zoomScale="120" zoomScaleNormal="120" workbookViewId="0"/>
  </sheetViews>
  <sheetFormatPr defaultRowHeight="10.5" x14ac:dyDescent="0.25"/>
  <cols>
    <col min="1" max="1" width="43.81640625" style="65" customWidth="1"/>
    <col min="2" max="2" width="11.81640625" style="65" bestFit="1" customWidth="1"/>
    <col min="3" max="3" width="12.26953125" style="65" bestFit="1" customWidth="1"/>
    <col min="4" max="4" width="11.54296875" style="65" bestFit="1" customWidth="1"/>
    <col min="5" max="5" width="11.453125" style="65" bestFit="1" customWidth="1"/>
    <col min="6" max="16384" width="8.7265625" style="65"/>
  </cols>
  <sheetData>
    <row r="1" spans="1:6" x14ac:dyDescent="0.25">
      <c r="A1" s="62"/>
      <c r="B1" s="63" t="s">
        <v>2</v>
      </c>
      <c r="C1" s="64"/>
      <c r="D1" s="64"/>
      <c r="E1" s="64"/>
    </row>
    <row r="2" spans="1:6" x14ac:dyDescent="0.25">
      <c r="A2" s="62"/>
      <c r="B2" s="66" t="s">
        <v>3</v>
      </c>
      <c r="C2" s="66" t="s">
        <v>4</v>
      </c>
      <c r="D2" s="66" t="s">
        <v>5</v>
      </c>
      <c r="E2" s="66" t="s">
        <v>6</v>
      </c>
    </row>
    <row r="3" spans="1:6" x14ac:dyDescent="0.25">
      <c r="A3" s="67" t="s">
        <v>355</v>
      </c>
      <c r="B3" s="68"/>
      <c r="C3" s="68"/>
      <c r="D3" s="68"/>
      <c r="E3" s="68"/>
    </row>
    <row r="4" spans="1:6" x14ac:dyDescent="0.25">
      <c r="A4" s="3" t="s">
        <v>47</v>
      </c>
      <c r="B4" s="5">
        <f>19670</f>
        <v>19670</v>
      </c>
      <c r="C4" s="5">
        <f>19400</f>
        <v>19400</v>
      </c>
      <c r="D4" s="5">
        <f t="shared" ref="D4:D7" si="0">(B4)-(C4)</f>
        <v>270</v>
      </c>
      <c r="E4" s="6">
        <f t="shared" ref="E4:E7" si="1">IF(C4=0,"",(B4)/(C4))</f>
        <v>1.0139175257731958</v>
      </c>
      <c r="F4" s="65" t="s">
        <v>359</v>
      </c>
    </row>
    <row r="5" spans="1:6" x14ac:dyDescent="0.25">
      <c r="A5" s="3" t="s">
        <v>48</v>
      </c>
      <c r="B5" s="4"/>
      <c r="C5" s="5">
        <f>100</f>
        <v>100</v>
      </c>
      <c r="D5" s="5">
        <f t="shared" si="0"/>
        <v>-100</v>
      </c>
      <c r="E5" s="6">
        <f t="shared" si="1"/>
        <v>0</v>
      </c>
    </row>
    <row r="6" spans="1:6" x14ac:dyDescent="0.25">
      <c r="A6" s="3" t="s">
        <v>49</v>
      </c>
      <c r="B6" s="7">
        <f>(B4)+(B5)</f>
        <v>19670</v>
      </c>
      <c r="C6" s="7">
        <f>(C4)+(C5)</f>
        <v>19500</v>
      </c>
      <c r="D6" s="7">
        <f t="shared" si="0"/>
        <v>170</v>
      </c>
      <c r="E6" s="8">
        <f t="shared" si="1"/>
        <v>1.0087179487179487</v>
      </c>
    </row>
    <row r="7" spans="1:6" x14ac:dyDescent="0.25">
      <c r="A7" s="3" t="s">
        <v>50</v>
      </c>
      <c r="B7" s="5">
        <f>3615.13</f>
        <v>3615.13</v>
      </c>
      <c r="C7" s="5">
        <f>3472</f>
        <v>3472</v>
      </c>
      <c r="D7" s="5">
        <f t="shared" si="0"/>
        <v>143.13000000000011</v>
      </c>
      <c r="E7" s="6">
        <f t="shared" si="1"/>
        <v>1.0412240783410138</v>
      </c>
      <c r="F7" s="65" t="s">
        <v>360</v>
      </c>
    </row>
    <row r="8" spans="1:6" x14ac:dyDescent="0.25">
      <c r="A8" s="3"/>
      <c r="B8" s="5">
        <f>SUM(B6:B7)</f>
        <v>23285.13</v>
      </c>
      <c r="C8" s="5">
        <f>SUM(C6:C7)</f>
        <v>22972</v>
      </c>
      <c r="D8" s="5">
        <f>SUM(D6:D7)</f>
        <v>313.13000000000011</v>
      </c>
      <c r="E8" s="6"/>
    </row>
    <row r="9" spans="1:6" x14ac:dyDescent="0.25">
      <c r="A9" s="69" t="s">
        <v>356</v>
      </c>
    </row>
    <row r="10" spans="1:6" x14ac:dyDescent="0.25">
      <c r="A10" s="3" t="s">
        <v>218</v>
      </c>
      <c r="B10" s="4"/>
      <c r="C10" s="4"/>
      <c r="D10" s="5">
        <f t="shared" ref="D10:D30" si="2">(B10)-(C10)</f>
        <v>0</v>
      </c>
      <c r="E10" s="6" t="str">
        <f t="shared" ref="E10:E30" si="3">IF(C10=0,"",(B10)/(C10))</f>
        <v/>
      </c>
    </row>
    <row r="11" spans="1:6" x14ac:dyDescent="0.25">
      <c r="A11" s="3" t="s">
        <v>219</v>
      </c>
      <c r="B11" s="4"/>
      <c r="C11" s="5">
        <f>120</f>
        <v>120</v>
      </c>
      <c r="D11" s="5">
        <f t="shared" si="2"/>
        <v>-120</v>
      </c>
      <c r="E11" s="6">
        <f t="shared" si="3"/>
        <v>0</v>
      </c>
    </row>
    <row r="12" spans="1:6" x14ac:dyDescent="0.25">
      <c r="A12" s="3" t="s">
        <v>220</v>
      </c>
      <c r="B12" s="5">
        <f>200</f>
        <v>200</v>
      </c>
      <c r="C12" s="5">
        <f>300</f>
        <v>300</v>
      </c>
      <c r="D12" s="5">
        <f t="shared" si="2"/>
        <v>-100</v>
      </c>
      <c r="E12" s="6">
        <f t="shared" si="3"/>
        <v>0.66666666666666663</v>
      </c>
    </row>
    <row r="13" spans="1:6" x14ac:dyDescent="0.25">
      <c r="A13" s="3" t="s">
        <v>221</v>
      </c>
      <c r="B13" s="4"/>
      <c r="C13" s="4"/>
      <c r="D13" s="5">
        <f t="shared" si="2"/>
        <v>0</v>
      </c>
      <c r="E13" s="6" t="str">
        <f t="shared" si="3"/>
        <v/>
      </c>
    </row>
    <row r="14" spans="1:6" x14ac:dyDescent="0.25">
      <c r="A14" s="3" t="s">
        <v>222</v>
      </c>
      <c r="B14" s="5">
        <f>750</f>
        <v>750</v>
      </c>
      <c r="C14" s="5">
        <f>750</f>
        <v>750</v>
      </c>
      <c r="D14" s="5">
        <f t="shared" si="2"/>
        <v>0</v>
      </c>
      <c r="E14" s="6">
        <f t="shared" si="3"/>
        <v>1</v>
      </c>
    </row>
    <row r="15" spans="1:6" x14ac:dyDescent="0.25">
      <c r="A15" s="3" t="s">
        <v>223</v>
      </c>
      <c r="B15" s="5">
        <f>1400</f>
        <v>1400</v>
      </c>
      <c r="C15" s="5">
        <f>1325</f>
        <v>1325</v>
      </c>
      <c r="D15" s="5">
        <f t="shared" si="2"/>
        <v>75</v>
      </c>
      <c r="E15" s="6">
        <f t="shared" si="3"/>
        <v>1.0566037735849056</v>
      </c>
    </row>
    <row r="16" spans="1:6" x14ac:dyDescent="0.25">
      <c r="A16" s="3" t="s">
        <v>224</v>
      </c>
      <c r="B16" s="5">
        <f>20848.5</f>
        <v>20848.5</v>
      </c>
      <c r="C16" s="5">
        <f>18700</f>
        <v>18700</v>
      </c>
      <c r="D16" s="5">
        <f t="shared" si="2"/>
        <v>2148.5</v>
      </c>
      <c r="E16" s="6">
        <f t="shared" si="3"/>
        <v>1.1148930481283423</v>
      </c>
    </row>
    <row r="17" spans="1:5" x14ac:dyDescent="0.25">
      <c r="A17" s="3" t="s">
        <v>225</v>
      </c>
      <c r="B17" s="5">
        <f>1494.8</f>
        <v>1494.8</v>
      </c>
      <c r="C17" s="5">
        <f>1400</f>
        <v>1400</v>
      </c>
      <c r="D17" s="5">
        <f t="shared" si="2"/>
        <v>94.799999999999955</v>
      </c>
      <c r="E17" s="6">
        <f t="shared" si="3"/>
        <v>1.0677142857142856</v>
      </c>
    </row>
    <row r="18" spans="1:5" x14ac:dyDescent="0.25">
      <c r="A18" s="3" t="s">
        <v>226</v>
      </c>
      <c r="B18" s="4"/>
      <c r="C18" s="5">
        <f>150</f>
        <v>150</v>
      </c>
      <c r="D18" s="5">
        <f t="shared" si="2"/>
        <v>-150</v>
      </c>
      <c r="E18" s="6">
        <f t="shared" si="3"/>
        <v>0</v>
      </c>
    </row>
    <row r="19" spans="1:5" x14ac:dyDescent="0.25">
      <c r="A19" s="3" t="s">
        <v>227</v>
      </c>
      <c r="B19" s="5">
        <f>3350</f>
        <v>3350</v>
      </c>
      <c r="C19" s="5">
        <f>3350</f>
        <v>3350</v>
      </c>
      <c r="D19" s="5">
        <f t="shared" si="2"/>
        <v>0</v>
      </c>
      <c r="E19" s="6">
        <f t="shared" si="3"/>
        <v>1</v>
      </c>
    </row>
    <row r="20" spans="1:5" x14ac:dyDescent="0.25">
      <c r="A20" s="3" t="s">
        <v>228</v>
      </c>
      <c r="B20" s="5">
        <f>1748.4</f>
        <v>1748.4</v>
      </c>
      <c r="C20" s="5">
        <f>800</f>
        <v>800</v>
      </c>
      <c r="D20" s="5">
        <f t="shared" si="2"/>
        <v>948.40000000000009</v>
      </c>
      <c r="E20" s="6">
        <f t="shared" si="3"/>
        <v>2.1855000000000002</v>
      </c>
    </row>
    <row r="21" spans="1:5" x14ac:dyDescent="0.25">
      <c r="A21" s="3" t="s">
        <v>229</v>
      </c>
      <c r="B21" s="7">
        <f>(((((((B13)+(B14))+(B15))+(B16))+(B17))+(B18))+(B19))+(B20)</f>
        <v>29591.7</v>
      </c>
      <c r="C21" s="7">
        <f>(((((((C13)+(C14))+(C15))+(C16))+(C17))+(C18))+(C19))+(C20)</f>
        <v>26475</v>
      </c>
      <c r="D21" s="7">
        <f t="shared" si="2"/>
        <v>3116.7000000000007</v>
      </c>
      <c r="E21" s="8">
        <f t="shared" si="3"/>
        <v>1.1177223796033995</v>
      </c>
    </row>
    <row r="22" spans="1:5" x14ac:dyDescent="0.25">
      <c r="A22" s="3" t="s">
        <v>230</v>
      </c>
      <c r="B22" s="4"/>
      <c r="C22" s="4"/>
      <c r="D22" s="5">
        <f t="shared" si="2"/>
        <v>0</v>
      </c>
      <c r="E22" s="6" t="str">
        <f t="shared" si="3"/>
        <v/>
      </c>
    </row>
    <row r="23" spans="1:5" x14ac:dyDescent="0.25">
      <c r="A23" s="3" t="s">
        <v>231</v>
      </c>
      <c r="B23" s="5">
        <f>225</f>
        <v>225</v>
      </c>
      <c r="C23" s="5">
        <f>225</f>
        <v>225</v>
      </c>
      <c r="D23" s="5">
        <f t="shared" si="2"/>
        <v>0</v>
      </c>
      <c r="E23" s="6">
        <f t="shared" si="3"/>
        <v>1</v>
      </c>
    </row>
    <row r="24" spans="1:5" x14ac:dyDescent="0.25">
      <c r="A24" s="3" t="s">
        <v>232</v>
      </c>
      <c r="B24" s="5">
        <f>3983</f>
        <v>3983</v>
      </c>
      <c r="C24" s="5">
        <f>3080</f>
        <v>3080</v>
      </c>
      <c r="D24" s="5">
        <f t="shared" si="2"/>
        <v>903</v>
      </c>
      <c r="E24" s="6">
        <f t="shared" si="3"/>
        <v>1.2931818181818182</v>
      </c>
    </row>
    <row r="25" spans="1:5" x14ac:dyDescent="0.25">
      <c r="A25" s="3" t="s">
        <v>233</v>
      </c>
      <c r="B25" s="5">
        <f>1244.04</f>
        <v>1244.04</v>
      </c>
      <c r="C25" s="5">
        <f>750</f>
        <v>750</v>
      </c>
      <c r="D25" s="5">
        <f t="shared" si="2"/>
        <v>494.03999999999996</v>
      </c>
      <c r="E25" s="6">
        <f t="shared" si="3"/>
        <v>1.65872</v>
      </c>
    </row>
    <row r="26" spans="1:5" x14ac:dyDescent="0.25">
      <c r="A26" s="3" t="s">
        <v>234</v>
      </c>
      <c r="B26" s="4"/>
      <c r="C26" s="5">
        <f>150</f>
        <v>150</v>
      </c>
      <c r="D26" s="5">
        <f t="shared" si="2"/>
        <v>-150</v>
      </c>
      <c r="E26" s="6">
        <f t="shared" si="3"/>
        <v>0</v>
      </c>
    </row>
    <row r="27" spans="1:5" x14ac:dyDescent="0.25">
      <c r="A27" s="3" t="s">
        <v>235</v>
      </c>
      <c r="B27" s="5">
        <f>775</f>
        <v>775</v>
      </c>
      <c r="C27" s="5">
        <f>775</f>
        <v>775</v>
      </c>
      <c r="D27" s="5">
        <f t="shared" si="2"/>
        <v>0</v>
      </c>
      <c r="E27" s="6">
        <f t="shared" si="3"/>
        <v>1</v>
      </c>
    </row>
    <row r="28" spans="1:5" x14ac:dyDescent="0.25">
      <c r="A28" s="3" t="s">
        <v>236</v>
      </c>
      <c r="B28" s="5">
        <f>1607</f>
        <v>1607</v>
      </c>
      <c r="C28" s="5">
        <f>800</f>
        <v>800</v>
      </c>
      <c r="D28" s="5">
        <f t="shared" si="2"/>
        <v>807</v>
      </c>
      <c r="E28" s="6">
        <f t="shared" si="3"/>
        <v>2.00875</v>
      </c>
    </row>
    <row r="29" spans="1:5" x14ac:dyDescent="0.25">
      <c r="A29" s="3" t="s">
        <v>237</v>
      </c>
      <c r="B29" s="7">
        <f>((((((B22)+(B23))+(B24))+(B25))+(B26))+(B27))+(B28)</f>
        <v>7834.04</v>
      </c>
      <c r="C29" s="7">
        <f>((((((C22)+(C23))+(C24))+(C25))+(C26))+(C27))+(C28)</f>
        <v>5780</v>
      </c>
      <c r="D29" s="7">
        <f t="shared" si="2"/>
        <v>2054.04</v>
      </c>
      <c r="E29" s="8">
        <f t="shared" si="3"/>
        <v>1.3553702422145328</v>
      </c>
    </row>
    <row r="30" spans="1:5" x14ac:dyDescent="0.25">
      <c r="A30" s="3" t="s">
        <v>238</v>
      </c>
      <c r="B30" s="7">
        <f>((((B10)+(B11))+(B12))+(B21))+(B29)</f>
        <v>37625.74</v>
      </c>
      <c r="C30" s="7">
        <f>((((C10)+(C11))+(C12))+(C21))+(C29)</f>
        <v>32675</v>
      </c>
      <c r="D30" s="7">
        <f t="shared" si="2"/>
        <v>4950.739999999998</v>
      </c>
      <c r="E30" s="8">
        <f t="shared" si="3"/>
        <v>1.1515146136189747</v>
      </c>
    </row>
    <row r="31" spans="1:5" x14ac:dyDescent="0.25">
      <c r="A31" s="3"/>
      <c r="B31" s="7"/>
      <c r="C31" s="7"/>
      <c r="D31" s="7"/>
      <c r="E31" s="8"/>
    </row>
    <row r="33" spans="1:4" x14ac:dyDescent="0.25">
      <c r="A33" s="3" t="s">
        <v>357</v>
      </c>
      <c r="B33" s="70">
        <f>B8-B30</f>
        <v>-14340.609999999997</v>
      </c>
      <c r="C33" s="70">
        <f>C8-C30</f>
        <v>-9703</v>
      </c>
      <c r="D33" s="70">
        <f>D8-D30</f>
        <v>-4637.6099999999979</v>
      </c>
    </row>
    <row r="35" spans="1:4" x14ac:dyDescent="0.25">
      <c r="A35" s="3"/>
    </row>
  </sheetData>
  <mergeCells count="1">
    <mergeCell ref="B1:E1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99467-22E0-4F85-8938-01FA5F5E3B99}">
  <dimension ref="A1:F19"/>
  <sheetViews>
    <sheetView workbookViewId="0"/>
  </sheetViews>
  <sheetFormatPr defaultRowHeight="14.5" x14ac:dyDescent="0.35"/>
  <cols>
    <col min="1" max="1" width="37.1796875" customWidth="1"/>
    <col min="2" max="3" width="12.26953125" bestFit="1" customWidth="1"/>
    <col min="4" max="4" width="11" bestFit="1" customWidth="1"/>
  </cols>
  <sheetData>
    <row r="1" spans="1:6" x14ac:dyDescent="0.35">
      <c r="A1" s="1"/>
      <c r="B1" s="48" t="s">
        <v>2</v>
      </c>
      <c r="C1" s="44"/>
      <c r="D1" s="44"/>
      <c r="E1" s="44"/>
    </row>
    <row r="2" spans="1:6" ht="35.5" x14ac:dyDescent="0.35">
      <c r="A2" s="1"/>
      <c r="B2" s="2" t="s">
        <v>3</v>
      </c>
      <c r="C2" s="2" t="s">
        <v>4</v>
      </c>
      <c r="D2" s="2" t="s">
        <v>5</v>
      </c>
      <c r="E2" s="2" t="s">
        <v>6</v>
      </c>
      <c r="F2" s="10" t="s">
        <v>361</v>
      </c>
    </row>
    <row r="3" spans="1:6" ht="15.5" x14ac:dyDescent="0.35">
      <c r="A3" s="11" t="s">
        <v>355</v>
      </c>
      <c r="B3" s="10"/>
      <c r="C3" s="10"/>
      <c r="D3" s="10"/>
      <c r="E3" s="10"/>
    </row>
    <row r="4" spans="1:6" x14ac:dyDescent="0.35">
      <c r="A4" s="20" t="s">
        <v>51</v>
      </c>
      <c r="B4" s="22">
        <f>12546.88</f>
        <v>12546.88</v>
      </c>
      <c r="C4" s="22">
        <f>12196</f>
        <v>12196</v>
      </c>
      <c r="D4" s="22">
        <f t="shared" ref="D4" si="0">(B4)-(C4)</f>
        <v>350.8799999999992</v>
      </c>
      <c r="E4" s="23">
        <f t="shared" ref="E4" si="1">IF(C4=0,"",(B4)/(C4))</f>
        <v>1.0287700885536242</v>
      </c>
    </row>
    <row r="5" spans="1:6" ht="15.5" x14ac:dyDescent="0.35">
      <c r="A5" s="15" t="s">
        <v>356</v>
      </c>
    </row>
    <row r="6" spans="1:6" x14ac:dyDescent="0.35">
      <c r="A6" s="20" t="s">
        <v>239</v>
      </c>
      <c r="B6" s="21"/>
      <c r="C6" s="21"/>
      <c r="D6" s="22">
        <f t="shared" ref="D6:D17" si="2">(B6)-(C6)</f>
        <v>0</v>
      </c>
      <c r="E6" s="23" t="str">
        <f t="shared" ref="E6:E17" si="3">IF(C6=0,"",(B6)/(C6))</f>
        <v/>
      </c>
    </row>
    <row r="7" spans="1:6" x14ac:dyDescent="0.35">
      <c r="A7" s="20" t="s">
        <v>240</v>
      </c>
      <c r="B7" s="21"/>
      <c r="C7" s="21"/>
      <c r="D7" s="22">
        <f t="shared" si="2"/>
        <v>0</v>
      </c>
      <c r="E7" s="23" t="str">
        <f t="shared" si="3"/>
        <v/>
      </c>
    </row>
    <row r="8" spans="1:6" x14ac:dyDescent="0.35">
      <c r="A8" s="20" t="s">
        <v>241</v>
      </c>
      <c r="B8" s="21"/>
      <c r="C8" s="22">
        <f>6600</f>
        <v>6600</v>
      </c>
      <c r="D8" s="22">
        <f t="shared" si="2"/>
        <v>-6600</v>
      </c>
      <c r="E8" s="23">
        <f t="shared" si="3"/>
        <v>0</v>
      </c>
    </row>
    <row r="9" spans="1:6" x14ac:dyDescent="0.35">
      <c r="A9" s="20" t="s">
        <v>242</v>
      </c>
      <c r="B9" s="21"/>
      <c r="C9" s="22">
        <f>600</f>
        <v>600</v>
      </c>
      <c r="D9" s="22">
        <f t="shared" si="2"/>
        <v>-600</v>
      </c>
      <c r="E9" s="23">
        <f t="shared" si="3"/>
        <v>0</v>
      </c>
    </row>
    <row r="10" spans="1:6" x14ac:dyDescent="0.35">
      <c r="A10" s="20" t="s">
        <v>243</v>
      </c>
      <c r="B10" s="22">
        <f>4674</f>
        <v>4674</v>
      </c>
      <c r="C10" s="22">
        <f>5420</f>
        <v>5420</v>
      </c>
      <c r="D10" s="22">
        <f t="shared" si="2"/>
        <v>-746</v>
      </c>
      <c r="E10" s="23">
        <f t="shared" si="3"/>
        <v>0.86236162361623614</v>
      </c>
    </row>
    <row r="11" spans="1:6" x14ac:dyDescent="0.35">
      <c r="A11" s="20" t="s">
        <v>244</v>
      </c>
      <c r="B11" s="22">
        <f>5820.8</f>
        <v>5820.8</v>
      </c>
      <c r="C11" s="22">
        <f>6000</f>
        <v>6000</v>
      </c>
      <c r="D11" s="22">
        <f t="shared" si="2"/>
        <v>-179.19999999999982</v>
      </c>
      <c r="E11" s="23">
        <f t="shared" si="3"/>
        <v>0.9701333333333334</v>
      </c>
    </row>
    <row r="12" spans="1:6" x14ac:dyDescent="0.35">
      <c r="A12" s="20" t="s">
        <v>245</v>
      </c>
      <c r="B12" s="21"/>
      <c r="C12" s="22">
        <f>300</f>
        <v>300</v>
      </c>
      <c r="D12" s="22">
        <f t="shared" si="2"/>
        <v>-300</v>
      </c>
      <c r="E12" s="23">
        <f t="shared" si="3"/>
        <v>0</v>
      </c>
    </row>
    <row r="13" spans="1:6" x14ac:dyDescent="0.35">
      <c r="A13" s="20" t="s">
        <v>246</v>
      </c>
      <c r="B13" s="22">
        <f>250</f>
        <v>250</v>
      </c>
      <c r="C13" s="22">
        <f>750</f>
        <v>750</v>
      </c>
      <c r="D13" s="22">
        <f t="shared" si="2"/>
        <v>-500</v>
      </c>
      <c r="E13" s="23">
        <f t="shared" si="3"/>
        <v>0.33333333333333331</v>
      </c>
    </row>
    <row r="14" spans="1:6" x14ac:dyDescent="0.35">
      <c r="A14" s="20" t="s">
        <v>247</v>
      </c>
      <c r="B14" s="21"/>
      <c r="C14" s="22">
        <f>200</f>
        <v>200</v>
      </c>
      <c r="D14" s="22">
        <f t="shared" si="2"/>
        <v>-200</v>
      </c>
      <c r="E14" s="23">
        <f t="shared" si="3"/>
        <v>0</v>
      </c>
    </row>
    <row r="15" spans="1:6" x14ac:dyDescent="0.35">
      <c r="A15" s="20" t="s">
        <v>248</v>
      </c>
      <c r="B15" s="22">
        <f>1500</f>
        <v>1500</v>
      </c>
      <c r="C15" s="22">
        <f>1550</f>
        <v>1550</v>
      </c>
      <c r="D15" s="22">
        <f t="shared" si="2"/>
        <v>-50</v>
      </c>
      <c r="E15" s="23">
        <f t="shared" si="3"/>
        <v>0.967741935483871</v>
      </c>
    </row>
    <row r="16" spans="1:6" x14ac:dyDescent="0.35">
      <c r="A16" s="20" t="s">
        <v>249</v>
      </c>
      <c r="B16" s="22">
        <f>4725</f>
        <v>4725</v>
      </c>
      <c r="C16" s="22">
        <f>5000</f>
        <v>5000</v>
      </c>
      <c r="D16" s="22">
        <f t="shared" si="2"/>
        <v>-275</v>
      </c>
      <c r="E16" s="23">
        <f t="shared" si="3"/>
        <v>0.94499999999999995</v>
      </c>
    </row>
    <row r="17" spans="1:5" x14ac:dyDescent="0.35">
      <c r="A17" s="20" t="s">
        <v>250</v>
      </c>
      <c r="B17" s="24">
        <f>(((((((((B7)+(B8))+(B9))+(B10))+(B11))+(B12))+(B13))+(B14))+(B15))+(B16)</f>
        <v>16969.8</v>
      </c>
      <c r="C17" s="24">
        <f>(((((((((C7)+(C8))+(C9))+(C10))+(C11))+(C12))+(C13))+(C14))+(C15))+(C16)</f>
        <v>26420</v>
      </c>
      <c r="D17" s="24">
        <f>(B17)-(C17)</f>
        <v>-9450.2000000000007</v>
      </c>
      <c r="E17" s="25">
        <f t="shared" si="3"/>
        <v>0.6423088569265708</v>
      </c>
    </row>
    <row r="19" spans="1:5" x14ac:dyDescent="0.35">
      <c r="A19" s="3" t="s">
        <v>357</v>
      </c>
      <c r="B19" s="54">
        <f>B4-B17</f>
        <v>-4422.92</v>
      </c>
      <c r="C19" s="12">
        <f>C4-C17</f>
        <v>-14224</v>
      </c>
      <c r="D19" s="12">
        <f>D4-D17</f>
        <v>9801.08</v>
      </c>
    </row>
  </sheetData>
  <mergeCells count="1">
    <mergeCell ref="B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2B23D-35F1-413F-9CF3-2427F80E16E6}">
  <dimension ref="A1:F17"/>
  <sheetViews>
    <sheetView workbookViewId="0"/>
  </sheetViews>
  <sheetFormatPr defaultRowHeight="14.5" x14ac:dyDescent="0.35"/>
  <cols>
    <col min="1" max="1" width="43.26953125" customWidth="1"/>
    <col min="2" max="2" width="11.81640625" bestFit="1" customWidth="1"/>
    <col min="3" max="3" width="12.26953125" bestFit="1" customWidth="1"/>
    <col min="4" max="4" width="11.54296875" bestFit="1" customWidth="1"/>
    <col min="6" max="6" width="35.7265625" customWidth="1"/>
  </cols>
  <sheetData>
    <row r="1" spans="1:6" x14ac:dyDescent="0.35">
      <c r="A1" s="1"/>
      <c r="B1" s="48" t="s">
        <v>2</v>
      </c>
      <c r="C1" s="44"/>
      <c r="D1" s="44"/>
      <c r="E1" s="44"/>
    </row>
    <row r="2" spans="1:6" ht="24" x14ac:dyDescent="0.35">
      <c r="A2" s="1"/>
      <c r="B2" s="2" t="s">
        <v>3</v>
      </c>
      <c r="C2" s="2" t="s">
        <v>4</v>
      </c>
      <c r="D2" s="2" t="s">
        <v>5</v>
      </c>
      <c r="E2" s="2" t="s">
        <v>6</v>
      </c>
      <c r="F2" s="10" t="s">
        <v>433</v>
      </c>
    </row>
    <row r="3" spans="1:6" ht="15.5" x14ac:dyDescent="0.35">
      <c r="A3" s="11" t="s">
        <v>355</v>
      </c>
      <c r="B3" s="10"/>
      <c r="C3" s="10"/>
      <c r="D3" s="10"/>
      <c r="E3" s="10"/>
    </row>
    <row r="4" spans="1:6" x14ac:dyDescent="0.35">
      <c r="A4" s="20" t="s">
        <v>52</v>
      </c>
      <c r="B4" s="22">
        <f>6037.87</f>
        <v>6037.87</v>
      </c>
      <c r="C4" s="22">
        <f>8114</f>
        <v>8114</v>
      </c>
      <c r="D4" s="22">
        <f t="shared" ref="D4" si="0">(B4)-(C4)</f>
        <v>-2076.13</v>
      </c>
      <c r="E4" s="23">
        <f t="shared" ref="E4" si="1">IF(C4=0,"",(B4)/(C4))</f>
        <v>0.74412989894010351</v>
      </c>
    </row>
    <row r="5" spans="1:6" ht="15.5" x14ac:dyDescent="0.35">
      <c r="A5" s="15" t="s">
        <v>356</v>
      </c>
    </row>
    <row r="6" spans="1:6" x14ac:dyDescent="0.35">
      <c r="A6" s="20" t="s">
        <v>251</v>
      </c>
      <c r="B6" s="21"/>
      <c r="C6" s="21"/>
      <c r="D6" s="22">
        <f t="shared" ref="D6:D16" si="2">(B6)-(C6)</f>
        <v>0</v>
      </c>
      <c r="E6" s="23" t="str">
        <f t="shared" ref="E6:E16" si="3">IF(C6=0,"",(B6)/(C6))</f>
        <v/>
      </c>
    </row>
    <row r="7" spans="1:6" x14ac:dyDescent="0.35">
      <c r="A7" s="20" t="s">
        <v>252</v>
      </c>
      <c r="B7" s="21"/>
      <c r="C7" s="22">
        <f>3200</f>
        <v>3200</v>
      </c>
      <c r="D7" s="22">
        <f t="shared" si="2"/>
        <v>-3200</v>
      </c>
      <c r="E7" s="23">
        <f t="shared" si="3"/>
        <v>0</v>
      </c>
    </row>
    <row r="8" spans="1:6" x14ac:dyDescent="0.35">
      <c r="A8" s="20" t="s">
        <v>253</v>
      </c>
      <c r="B8" s="22">
        <f>600</f>
        <v>600</v>
      </c>
      <c r="C8" s="22">
        <f>450</f>
        <v>450</v>
      </c>
      <c r="D8" s="22">
        <f t="shared" si="2"/>
        <v>150</v>
      </c>
      <c r="E8" s="23">
        <f t="shared" si="3"/>
        <v>1.3333333333333333</v>
      </c>
    </row>
    <row r="9" spans="1:6" x14ac:dyDescent="0.35">
      <c r="A9" s="20" t="s">
        <v>254</v>
      </c>
      <c r="B9" s="21"/>
      <c r="C9" s="22">
        <f>2860</f>
        <v>2860</v>
      </c>
      <c r="D9" s="22">
        <f t="shared" si="2"/>
        <v>-2860</v>
      </c>
      <c r="E9" s="23">
        <f t="shared" si="3"/>
        <v>0</v>
      </c>
    </row>
    <row r="10" spans="1:6" x14ac:dyDescent="0.35">
      <c r="A10" s="20" t="s">
        <v>255</v>
      </c>
      <c r="B10" s="22">
        <f>5820.8</f>
        <v>5820.8</v>
      </c>
      <c r="C10" s="22">
        <f>6000</f>
        <v>6000</v>
      </c>
      <c r="D10" s="22">
        <f t="shared" si="2"/>
        <v>-179.19999999999982</v>
      </c>
      <c r="E10" s="23">
        <f t="shared" si="3"/>
        <v>0.9701333333333334</v>
      </c>
    </row>
    <row r="11" spans="1:6" x14ac:dyDescent="0.35">
      <c r="A11" s="20" t="s">
        <v>256</v>
      </c>
      <c r="B11" s="21"/>
      <c r="C11" s="22">
        <f>300</f>
        <v>300</v>
      </c>
      <c r="D11" s="22">
        <f t="shared" si="2"/>
        <v>-300</v>
      </c>
      <c r="E11" s="23">
        <f t="shared" si="3"/>
        <v>0</v>
      </c>
    </row>
    <row r="12" spans="1:6" x14ac:dyDescent="0.35">
      <c r="A12" s="20" t="s">
        <v>257</v>
      </c>
      <c r="B12" s="21"/>
      <c r="C12" s="22">
        <f>375</f>
        <v>375</v>
      </c>
      <c r="D12" s="22">
        <f t="shared" si="2"/>
        <v>-375</v>
      </c>
      <c r="E12" s="23">
        <f t="shared" si="3"/>
        <v>0</v>
      </c>
    </row>
    <row r="13" spans="1:6" x14ac:dyDescent="0.35">
      <c r="A13" s="20" t="s">
        <v>258</v>
      </c>
      <c r="B13" s="21"/>
      <c r="C13" s="22">
        <f>200</f>
        <v>200</v>
      </c>
      <c r="D13" s="22">
        <f t="shared" si="2"/>
        <v>-200</v>
      </c>
      <c r="E13" s="23">
        <f t="shared" si="3"/>
        <v>0</v>
      </c>
    </row>
    <row r="14" spans="1:6" x14ac:dyDescent="0.35">
      <c r="A14" s="20" t="s">
        <v>259</v>
      </c>
      <c r="B14" s="22">
        <f>1500</f>
        <v>1500</v>
      </c>
      <c r="C14" s="22">
        <f>775</f>
        <v>775</v>
      </c>
      <c r="D14" s="22">
        <f t="shared" si="2"/>
        <v>725</v>
      </c>
      <c r="E14" s="23">
        <f t="shared" si="3"/>
        <v>1.935483870967742</v>
      </c>
    </row>
    <row r="15" spans="1:6" x14ac:dyDescent="0.35">
      <c r="A15" s="20" t="s">
        <v>260</v>
      </c>
      <c r="B15" s="22">
        <f>4725</f>
        <v>4725</v>
      </c>
      <c r="C15" s="22">
        <f>5000</f>
        <v>5000</v>
      </c>
      <c r="D15" s="22">
        <f t="shared" si="2"/>
        <v>-275</v>
      </c>
      <c r="E15" s="23">
        <f t="shared" si="3"/>
        <v>0.94499999999999995</v>
      </c>
    </row>
    <row r="16" spans="1:6" x14ac:dyDescent="0.35">
      <c r="A16" s="20" t="s">
        <v>261</v>
      </c>
      <c r="B16" s="24">
        <f>(((((((((B6)+(B7))+(B8))+(B9))+(B10))+(B11))+(B12))+(B13))+(B14))+(B15)</f>
        <v>12645.8</v>
      </c>
      <c r="C16" s="24">
        <f>(((((((((C6)+(C7))+(C8))+(C9))+(C10))+(C11))+(C12))+(C13))+(C14))+(C15)</f>
        <v>19160</v>
      </c>
      <c r="D16" s="24">
        <f t="shared" si="2"/>
        <v>-6514.2000000000007</v>
      </c>
      <c r="E16" s="25">
        <f t="shared" si="3"/>
        <v>0.66001043841336116</v>
      </c>
    </row>
    <row r="17" spans="1:5" x14ac:dyDescent="0.35">
      <c r="A17" s="3" t="s">
        <v>357</v>
      </c>
      <c r="B17" s="12">
        <f>B4-B16</f>
        <v>-6607.9299999999994</v>
      </c>
      <c r="C17" s="12">
        <f>C4-C16</f>
        <v>-11046</v>
      </c>
      <c r="D17" s="12">
        <f>D4-D16</f>
        <v>4438.0700000000006</v>
      </c>
      <c r="E17" s="12"/>
    </row>
  </sheetData>
  <mergeCells count="1">
    <mergeCell ref="B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0531-C896-491F-A4BE-CB901853A6C0}">
  <dimension ref="A1:F15"/>
  <sheetViews>
    <sheetView workbookViewId="0"/>
  </sheetViews>
  <sheetFormatPr defaultRowHeight="14.5" x14ac:dyDescent="0.35"/>
  <cols>
    <col min="1" max="1" width="37.26953125" customWidth="1"/>
    <col min="2" max="3" width="12.26953125" bestFit="1" customWidth="1"/>
    <col min="4" max="4" width="11" bestFit="1" customWidth="1"/>
  </cols>
  <sheetData>
    <row r="1" spans="1:6" x14ac:dyDescent="0.35">
      <c r="A1" s="1"/>
      <c r="B1" s="48" t="s">
        <v>2</v>
      </c>
      <c r="C1" s="44"/>
      <c r="D1" s="44"/>
      <c r="E1" s="44"/>
    </row>
    <row r="2" spans="1:6" ht="24" x14ac:dyDescent="0.35">
      <c r="A2" s="1"/>
      <c r="B2" s="2" t="s">
        <v>3</v>
      </c>
      <c r="C2" s="2" t="s">
        <v>4</v>
      </c>
      <c r="D2" s="2" t="s">
        <v>5</v>
      </c>
      <c r="E2" s="2" t="s">
        <v>6</v>
      </c>
      <c r="F2" s="10" t="s">
        <v>434</v>
      </c>
    </row>
    <row r="3" spans="1:6" ht="15.5" x14ac:dyDescent="0.35">
      <c r="A3" s="11" t="s">
        <v>355</v>
      </c>
      <c r="B3" s="10"/>
      <c r="C3" s="10"/>
      <c r="D3" s="10"/>
      <c r="E3" s="10"/>
    </row>
    <row r="4" spans="1:6" x14ac:dyDescent="0.35">
      <c r="A4" s="20" t="s">
        <v>53</v>
      </c>
      <c r="B4" s="22">
        <f>864.75</f>
        <v>864.75</v>
      </c>
      <c r="C4" s="22">
        <f>30000</f>
        <v>30000</v>
      </c>
      <c r="D4" s="22">
        <f t="shared" ref="D4" si="0">(B4)-(C4)</f>
        <v>-29135.25</v>
      </c>
      <c r="E4" s="23">
        <f t="shared" ref="E4" si="1">IF(C4=0,"",(B4)/(C4))</f>
        <v>2.8825E-2</v>
      </c>
    </row>
    <row r="5" spans="1:6" ht="15.5" x14ac:dyDescent="0.35">
      <c r="A5" s="15" t="s">
        <v>356</v>
      </c>
    </row>
    <row r="6" spans="1:6" x14ac:dyDescent="0.35">
      <c r="A6" s="20" t="s">
        <v>426</v>
      </c>
      <c r="B6" s="21"/>
      <c r="C6" s="21"/>
      <c r="D6" s="22">
        <f t="shared" ref="D6:D14" si="2">(B6)-(C6)</f>
        <v>0</v>
      </c>
      <c r="E6" s="23" t="str">
        <f t="shared" ref="E6:E14" si="3">IF(C6=0,"",(B6)/(C6))</f>
        <v/>
      </c>
    </row>
    <row r="7" spans="1:6" x14ac:dyDescent="0.35">
      <c r="A7" s="20" t="s">
        <v>303</v>
      </c>
      <c r="B7" s="21"/>
      <c r="C7" s="22">
        <f>625</f>
        <v>625</v>
      </c>
      <c r="D7" s="22">
        <f t="shared" si="2"/>
        <v>-625</v>
      </c>
      <c r="E7" s="23">
        <f t="shared" si="3"/>
        <v>0</v>
      </c>
    </row>
    <row r="8" spans="1:6" x14ac:dyDescent="0.35">
      <c r="A8" s="20" t="s">
        <v>304</v>
      </c>
      <c r="B8" s="21"/>
      <c r="C8" s="22">
        <f>2000</f>
        <v>2000</v>
      </c>
      <c r="D8" s="22">
        <f t="shared" si="2"/>
        <v>-2000</v>
      </c>
      <c r="E8" s="23">
        <f t="shared" si="3"/>
        <v>0</v>
      </c>
    </row>
    <row r="9" spans="1:6" x14ac:dyDescent="0.35">
      <c r="A9" s="20" t="s">
        <v>305</v>
      </c>
      <c r="B9" s="22">
        <f>3986.3</f>
        <v>3986.3</v>
      </c>
      <c r="C9" s="22">
        <f>2900</f>
        <v>2900</v>
      </c>
      <c r="D9" s="22">
        <f t="shared" si="2"/>
        <v>1086.3000000000002</v>
      </c>
      <c r="E9" s="23">
        <f t="shared" si="3"/>
        <v>1.3745862068965518</v>
      </c>
    </row>
    <row r="10" spans="1:6" x14ac:dyDescent="0.35">
      <c r="A10" s="20" t="s">
        <v>306</v>
      </c>
      <c r="B10" s="22">
        <f>1639.57</f>
        <v>1639.57</v>
      </c>
      <c r="C10" s="22">
        <f>5600</f>
        <v>5600</v>
      </c>
      <c r="D10" s="22">
        <f t="shared" si="2"/>
        <v>-3960.4300000000003</v>
      </c>
      <c r="E10" s="23">
        <f t="shared" si="3"/>
        <v>0.29278035714285711</v>
      </c>
    </row>
    <row r="11" spans="1:6" x14ac:dyDescent="0.35">
      <c r="A11" s="20" t="s">
        <v>307</v>
      </c>
      <c r="B11" s="21"/>
      <c r="C11" s="22">
        <f>500</f>
        <v>500</v>
      </c>
      <c r="D11" s="22">
        <f t="shared" si="2"/>
        <v>-500</v>
      </c>
      <c r="E11" s="23">
        <f t="shared" si="3"/>
        <v>0</v>
      </c>
    </row>
    <row r="12" spans="1:6" x14ac:dyDescent="0.35">
      <c r="A12" s="20" t="s">
        <v>308</v>
      </c>
      <c r="B12" s="21"/>
      <c r="C12" s="22">
        <f>300</f>
        <v>300</v>
      </c>
      <c r="D12" s="22">
        <f t="shared" si="2"/>
        <v>-300</v>
      </c>
      <c r="E12" s="23">
        <f t="shared" si="3"/>
        <v>0</v>
      </c>
    </row>
    <row r="13" spans="1:6" x14ac:dyDescent="0.35">
      <c r="A13" s="20" t="s">
        <v>309</v>
      </c>
      <c r="B13" s="22">
        <f>2203.49</f>
        <v>2203.4899999999998</v>
      </c>
      <c r="C13" s="22">
        <f>25000</f>
        <v>25000</v>
      </c>
      <c r="D13" s="22">
        <f t="shared" si="2"/>
        <v>-22796.510000000002</v>
      </c>
      <c r="E13" s="23">
        <f t="shared" si="3"/>
        <v>8.8139599999999985E-2</v>
      </c>
    </row>
    <row r="14" spans="1:6" x14ac:dyDescent="0.35">
      <c r="A14" s="20" t="s">
        <v>427</v>
      </c>
      <c r="B14" s="24">
        <f>(((((((B6)+(B7))+(B8))+(B9))+(B10))+(B11))+(B12))+(B13)</f>
        <v>7829.36</v>
      </c>
      <c r="C14" s="24">
        <f>(((((((C6)+(C7))+(C8))+(C9))+(C10))+(C11))+(C12))+(C13)</f>
        <v>36925</v>
      </c>
      <c r="D14" s="24">
        <f t="shared" si="2"/>
        <v>-29095.64</v>
      </c>
      <c r="E14" s="25">
        <f t="shared" si="3"/>
        <v>0.21203412322274881</v>
      </c>
    </row>
    <row r="15" spans="1:6" x14ac:dyDescent="0.35">
      <c r="A15" s="3" t="s">
        <v>357</v>
      </c>
      <c r="B15" s="12">
        <f>B4-B14</f>
        <v>-6964.61</v>
      </c>
      <c r="C15" s="12">
        <f>C4-C14</f>
        <v>-6925</v>
      </c>
      <c r="D15" s="12">
        <f t="shared" ref="C15:E15" si="4">D4-D14</f>
        <v>-39.610000000000582</v>
      </c>
      <c r="E15" s="12"/>
    </row>
  </sheetData>
  <mergeCells count="1">
    <mergeCell ref="B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D53D-6E73-4679-AA8E-F98767093F09}">
  <dimension ref="A1:E22"/>
  <sheetViews>
    <sheetView workbookViewId="0"/>
  </sheetViews>
  <sheetFormatPr defaultRowHeight="14.5" x14ac:dyDescent="0.35"/>
  <cols>
    <col min="1" max="1" width="38.1796875" customWidth="1"/>
    <col min="2" max="3" width="11.81640625" bestFit="1" customWidth="1"/>
    <col min="4" max="4" width="11.26953125" bestFit="1" customWidth="1"/>
  </cols>
  <sheetData>
    <row r="1" spans="1:5" x14ac:dyDescent="0.35">
      <c r="A1" s="1"/>
      <c r="B1" s="48" t="s">
        <v>2</v>
      </c>
      <c r="C1" s="44"/>
      <c r="D1" s="44"/>
      <c r="E1" s="44"/>
    </row>
    <row r="2" spans="1:5" ht="24" x14ac:dyDescent="0.35">
      <c r="A2" s="1"/>
      <c r="B2" s="2" t="s">
        <v>3</v>
      </c>
      <c r="C2" s="2" t="s">
        <v>4</v>
      </c>
      <c r="D2" s="2" t="s">
        <v>5</v>
      </c>
      <c r="E2" s="2" t="s">
        <v>6</v>
      </c>
    </row>
    <row r="3" spans="1:5" ht="15.5" x14ac:dyDescent="0.35">
      <c r="A3" s="11" t="s">
        <v>355</v>
      </c>
      <c r="B3" s="10"/>
      <c r="C3" s="10"/>
      <c r="D3" s="10"/>
      <c r="E3" s="10"/>
    </row>
    <row r="4" spans="1:5" x14ac:dyDescent="0.35">
      <c r="A4" s="20" t="s">
        <v>60</v>
      </c>
      <c r="B4" s="21"/>
      <c r="C4" s="21"/>
      <c r="D4" s="22">
        <f t="shared" ref="D4:D8" si="0">(B4)-(C4)</f>
        <v>0</v>
      </c>
      <c r="E4" s="23" t="str">
        <f t="shared" ref="E4:E8" si="1">IF(C4=0,"",(B4)/(C4))</f>
        <v/>
      </c>
    </row>
    <row r="5" spans="1:5" x14ac:dyDescent="0.35">
      <c r="A5" s="20" t="s">
        <v>61</v>
      </c>
      <c r="B5" s="22">
        <f>117775</f>
        <v>117775</v>
      </c>
      <c r="C5" s="22">
        <f>64000</f>
        <v>64000</v>
      </c>
      <c r="D5" s="22">
        <f t="shared" si="0"/>
        <v>53775</v>
      </c>
      <c r="E5" s="23">
        <f t="shared" si="1"/>
        <v>1.8402343750000001</v>
      </c>
    </row>
    <row r="6" spans="1:5" x14ac:dyDescent="0.35">
      <c r="A6" s="20" t="s">
        <v>62</v>
      </c>
      <c r="B6" s="22">
        <f>4900</f>
        <v>4900</v>
      </c>
      <c r="C6" s="21"/>
      <c r="D6" s="22">
        <f t="shared" si="0"/>
        <v>4900</v>
      </c>
      <c r="E6" s="23" t="str">
        <f t="shared" si="1"/>
        <v/>
      </c>
    </row>
    <row r="7" spans="1:5" x14ac:dyDescent="0.35">
      <c r="A7" s="20" t="s">
        <v>63</v>
      </c>
      <c r="B7" s="22">
        <f>18374</f>
        <v>18374</v>
      </c>
      <c r="C7" s="22">
        <f>18000</f>
        <v>18000</v>
      </c>
      <c r="D7" s="22">
        <f t="shared" si="0"/>
        <v>374</v>
      </c>
      <c r="E7" s="23">
        <f t="shared" si="1"/>
        <v>1.0207777777777778</v>
      </c>
    </row>
    <row r="8" spans="1:5" x14ac:dyDescent="0.35">
      <c r="A8" s="20" t="s">
        <v>64</v>
      </c>
      <c r="B8" s="24">
        <f>(((B4)+(B5))+(B6))+(B7)</f>
        <v>141049</v>
      </c>
      <c r="C8" s="24">
        <f>(((C4)+(C5))+(C6))+(C7)</f>
        <v>82000</v>
      </c>
      <c r="D8" s="24">
        <f t="shared" si="0"/>
        <v>59049</v>
      </c>
      <c r="E8" s="25">
        <f t="shared" si="1"/>
        <v>1.7201097560975609</v>
      </c>
    </row>
    <row r="9" spans="1:5" ht="15.5" x14ac:dyDescent="0.35">
      <c r="A9" s="16" t="s">
        <v>356</v>
      </c>
    </row>
    <row r="10" spans="1:5" x14ac:dyDescent="0.35">
      <c r="A10" s="20" t="s">
        <v>292</v>
      </c>
      <c r="B10" s="21"/>
      <c r="C10" s="21"/>
      <c r="D10" s="22">
        <f t="shared" ref="D10:D20" si="2">(B10)-(C10)</f>
        <v>0</v>
      </c>
      <c r="E10" s="23" t="str">
        <f t="shared" ref="E10:E20" si="3">IF(C10=0,"",(B10)/(C10))</f>
        <v/>
      </c>
    </row>
    <row r="11" spans="1:5" x14ac:dyDescent="0.35">
      <c r="A11" s="20" t="s">
        <v>293</v>
      </c>
      <c r="B11" s="22">
        <f>15126.2</f>
        <v>15126.2</v>
      </c>
      <c r="C11" s="22">
        <f>16000</f>
        <v>16000</v>
      </c>
      <c r="D11" s="22">
        <f t="shared" si="2"/>
        <v>-873.79999999999927</v>
      </c>
      <c r="E11" s="23">
        <f t="shared" si="3"/>
        <v>0.94538750000000005</v>
      </c>
    </row>
    <row r="12" spans="1:5" x14ac:dyDescent="0.35">
      <c r="A12" s="20" t="s">
        <v>294</v>
      </c>
      <c r="B12" s="22">
        <f>12429.95</f>
        <v>12429.95</v>
      </c>
      <c r="C12" s="22">
        <f>12000</f>
        <v>12000</v>
      </c>
      <c r="D12" s="22">
        <f t="shared" si="2"/>
        <v>429.95000000000073</v>
      </c>
      <c r="E12" s="23">
        <f t="shared" si="3"/>
        <v>1.0358291666666668</v>
      </c>
    </row>
    <row r="13" spans="1:5" x14ac:dyDescent="0.35">
      <c r="A13" s="20" t="s">
        <v>295</v>
      </c>
      <c r="B13" s="22">
        <f>10897.4</f>
        <v>10897.4</v>
      </c>
      <c r="C13" s="22">
        <f>10000</f>
        <v>10000</v>
      </c>
      <c r="D13" s="22">
        <f t="shared" si="2"/>
        <v>897.39999999999964</v>
      </c>
      <c r="E13" s="23">
        <f t="shared" si="3"/>
        <v>1.0897399999999999</v>
      </c>
    </row>
    <row r="14" spans="1:5" x14ac:dyDescent="0.35">
      <c r="A14" s="20" t="s">
        <v>296</v>
      </c>
      <c r="B14" s="22">
        <f>5850</f>
        <v>5850</v>
      </c>
      <c r="C14" s="22">
        <f>5000</f>
        <v>5000</v>
      </c>
      <c r="D14" s="22">
        <f t="shared" si="2"/>
        <v>850</v>
      </c>
      <c r="E14" s="23">
        <f t="shared" si="3"/>
        <v>1.17</v>
      </c>
    </row>
    <row r="15" spans="1:5" x14ac:dyDescent="0.35">
      <c r="A15" s="20" t="s">
        <v>297</v>
      </c>
      <c r="B15" s="22">
        <f>1815</f>
        <v>1815</v>
      </c>
      <c r="C15" s="22">
        <f>1400</f>
        <v>1400</v>
      </c>
      <c r="D15" s="22">
        <f t="shared" si="2"/>
        <v>415</v>
      </c>
      <c r="E15" s="23">
        <f t="shared" si="3"/>
        <v>1.2964285714285715</v>
      </c>
    </row>
    <row r="16" spans="1:5" x14ac:dyDescent="0.35">
      <c r="A16" s="20" t="s">
        <v>298</v>
      </c>
      <c r="B16" s="22">
        <f>11146.75</f>
        <v>11146.75</v>
      </c>
      <c r="C16" s="22">
        <f>12000</f>
        <v>12000</v>
      </c>
      <c r="D16" s="22">
        <f t="shared" si="2"/>
        <v>-853.25</v>
      </c>
      <c r="E16" s="23">
        <f t="shared" si="3"/>
        <v>0.92889583333333337</v>
      </c>
    </row>
    <row r="17" spans="1:5" x14ac:dyDescent="0.35">
      <c r="A17" s="20" t="s">
        <v>299</v>
      </c>
      <c r="B17" s="22">
        <f>11992.72</f>
        <v>11992.72</v>
      </c>
      <c r="C17" s="22">
        <f>7000</f>
        <v>7000</v>
      </c>
      <c r="D17" s="22">
        <f t="shared" si="2"/>
        <v>4992.7199999999993</v>
      </c>
      <c r="E17" s="23">
        <f t="shared" si="3"/>
        <v>1.7132457142857143</v>
      </c>
    </row>
    <row r="18" spans="1:5" x14ac:dyDescent="0.35">
      <c r="A18" s="20" t="s">
        <v>300</v>
      </c>
      <c r="B18" s="22">
        <f>1750</f>
        <v>1750</v>
      </c>
      <c r="C18" s="21"/>
      <c r="D18" s="22">
        <f t="shared" si="2"/>
        <v>1750</v>
      </c>
      <c r="E18" s="23" t="str">
        <f t="shared" si="3"/>
        <v/>
      </c>
    </row>
    <row r="19" spans="1:5" x14ac:dyDescent="0.35">
      <c r="A19" s="20" t="s">
        <v>301</v>
      </c>
      <c r="B19" s="22">
        <f>2540</f>
        <v>2540</v>
      </c>
      <c r="C19" s="22">
        <f>2000</f>
        <v>2000</v>
      </c>
      <c r="D19" s="22">
        <f t="shared" si="2"/>
        <v>540</v>
      </c>
      <c r="E19" s="23">
        <f t="shared" si="3"/>
        <v>1.27</v>
      </c>
    </row>
    <row r="20" spans="1:5" x14ac:dyDescent="0.35">
      <c r="A20" s="20" t="s">
        <v>302</v>
      </c>
      <c r="B20" s="24">
        <f>(((((((((B10)+(B11))+(B12))+(B13))+(B14))+(B15))+(B16))+(B17))+(B18))+(B19)</f>
        <v>73548.02</v>
      </c>
      <c r="C20" s="24">
        <f>(((((((((C10)+(C11))+(C12))+(C13))+(C14))+(C15))+(C16))+(C17))+(C18))+(C19)</f>
        <v>65400</v>
      </c>
      <c r="D20" s="24">
        <f t="shared" si="2"/>
        <v>8148.0200000000041</v>
      </c>
      <c r="E20" s="25">
        <f t="shared" si="3"/>
        <v>1.1245874617737004</v>
      </c>
    </row>
    <row r="22" spans="1:5" x14ac:dyDescent="0.35">
      <c r="A22" s="3" t="s">
        <v>357</v>
      </c>
      <c r="B22" s="12">
        <f>B8-B20</f>
        <v>67500.98</v>
      </c>
      <c r="C22" s="12">
        <f>C8-C20</f>
        <v>16600</v>
      </c>
      <c r="D22" s="12">
        <f>D8-D20</f>
        <v>50900.979999999996</v>
      </c>
    </row>
  </sheetData>
  <mergeCells count="1">
    <mergeCell ref="B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C308D-D695-43DB-9F47-76076E28F399}">
  <dimension ref="A1:F21"/>
  <sheetViews>
    <sheetView workbookViewId="0"/>
  </sheetViews>
  <sheetFormatPr defaultRowHeight="14.5" x14ac:dyDescent="0.35"/>
  <cols>
    <col min="1" max="1" width="62.453125" customWidth="1"/>
    <col min="2" max="2" width="13.453125" bestFit="1" customWidth="1"/>
    <col min="3" max="3" width="12.26953125" bestFit="1" customWidth="1"/>
    <col min="4" max="4" width="13.453125" bestFit="1" customWidth="1"/>
    <col min="6" max="6" width="19" customWidth="1"/>
  </cols>
  <sheetData>
    <row r="1" spans="1:6" x14ac:dyDescent="0.35">
      <c r="A1" s="1"/>
      <c r="B1" s="48" t="s">
        <v>2</v>
      </c>
      <c r="C1" s="44"/>
      <c r="D1" s="44"/>
      <c r="E1" s="44"/>
    </row>
    <row r="2" spans="1:6" ht="24" x14ac:dyDescent="0.35">
      <c r="A2" s="1"/>
      <c r="B2" s="2" t="s">
        <v>3</v>
      </c>
      <c r="C2" s="2" t="s">
        <v>4</v>
      </c>
      <c r="D2" s="2" t="s">
        <v>5</v>
      </c>
      <c r="E2" s="2" t="s">
        <v>6</v>
      </c>
      <c r="F2" s="10" t="s">
        <v>362</v>
      </c>
    </row>
    <row r="3" spans="1:6" x14ac:dyDescent="0.35">
      <c r="A3" s="3" t="s">
        <v>355</v>
      </c>
      <c r="B3" s="4"/>
      <c r="C3" s="4"/>
      <c r="D3" s="4"/>
      <c r="E3" s="4"/>
    </row>
    <row r="4" spans="1:6" ht="18.75" customHeight="1" x14ac:dyDescent="0.35">
      <c r="A4" s="3" t="s">
        <v>45</v>
      </c>
      <c r="B4" s="22"/>
      <c r="C4" s="5"/>
      <c r="D4" s="5"/>
      <c r="E4" s="6"/>
    </row>
    <row r="5" spans="1:6" x14ac:dyDescent="0.35">
      <c r="A5" s="3" t="s">
        <v>55</v>
      </c>
      <c r="B5" s="22"/>
      <c r="C5" s="5"/>
      <c r="D5" s="5"/>
      <c r="E5" s="6"/>
    </row>
    <row r="6" spans="1:6" x14ac:dyDescent="0.35">
      <c r="A6" s="3" t="s">
        <v>358</v>
      </c>
      <c r="B6" s="17">
        <f>SUM(B4:B5)</f>
        <v>0</v>
      </c>
      <c r="C6" s="17">
        <f>SUM(C4:C5)</f>
        <v>0</v>
      </c>
      <c r="D6" s="17">
        <f>SUM(D4:D5)</f>
        <v>0</v>
      </c>
    </row>
    <row r="8" spans="1:6" x14ac:dyDescent="0.35">
      <c r="A8" s="3" t="s">
        <v>356</v>
      </c>
    </row>
    <row r="9" spans="1:6" x14ac:dyDescent="0.35">
      <c r="A9" s="3" t="s">
        <v>263</v>
      </c>
      <c r="B9" s="4"/>
      <c r="C9" s="4"/>
      <c r="D9" s="5"/>
      <c r="E9" s="6"/>
    </row>
    <row r="10" spans="1:6" x14ac:dyDescent="0.35">
      <c r="A10" s="3" t="s">
        <v>264</v>
      </c>
      <c r="B10" s="22"/>
      <c r="C10" s="22"/>
      <c r="D10" s="22"/>
      <c r="E10" s="23"/>
    </row>
    <row r="11" spans="1:6" x14ac:dyDescent="0.35">
      <c r="A11" s="3" t="s">
        <v>265</v>
      </c>
      <c r="B11" s="22"/>
      <c r="C11" s="22"/>
      <c r="D11" s="22"/>
      <c r="E11" s="23"/>
    </row>
    <row r="12" spans="1:6" x14ac:dyDescent="0.35">
      <c r="A12" s="3" t="s">
        <v>266</v>
      </c>
      <c r="B12" s="22"/>
      <c r="C12" s="22"/>
      <c r="D12" s="22"/>
      <c r="E12" s="23"/>
    </row>
    <row r="13" spans="1:6" x14ac:dyDescent="0.35">
      <c r="A13" s="3" t="s">
        <v>267</v>
      </c>
      <c r="B13" s="22"/>
      <c r="C13" s="22"/>
      <c r="D13" s="22"/>
      <c r="E13" s="23"/>
    </row>
    <row r="14" spans="1:6" x14ac:dyDescent="0.35">
      <c r="A14" s="3" t="s">
        <v>268</v>
      </c>
      <c r="B14" s="22"/>
      <c r="C14" s="22"/>
      <c r="D14" s="22"/>
      <c r="E14" s="23"/>
    </row>
    <row r="15" spans="1:6" x14ac:dyDescent="0.35">
      <c r="A15" s="3" t="s">
        <v>363</v>
      </c>
      <c r="B15" s="22"/>
      <c r="C15" s="22"/>
      <c r="D15" s="22"/>
      <c r="E15" s="23"/>
    </row>
    <row r="16" spans="1:6" x14ac:dyDescent="0.35">
      <c r="A16" s="3" t="s">
        <v>269</v>
      </c>
      <c r="B16" s="21"/>
      <c r="C16" s="22"/>
      <c r="D16" s="22"/>
      <c r="E16" s="23"/>
    </row>
    <row r="17" spans="1:5" x14ac:dyDescent="0.35">
      <c r="A17" s="3" t="s">
        <v>270</v>
      </c>
      <c r="B17" s="22"/>
      <c r="C17" s="22"/>
      <c r="D17" s="22"/>
      <c r="E17" s="23"/>
    </row>
    <row r="18" spans="1:5" x14ac:dyDescent="0.35">
      <c r="A18" s="3" t="s">
        <v>271</v>
      </c>
      <c r="B18" s="22"/>
      <c r="C18" s="22"/>
      <c r="D18" s="22"/>
      <c r="E18" s="23"/>
    </row>
    <row r="19" spans="1:5" x14ac:dyDescent="0.35">
      <c r="A19" s="3" t="s">
        <v>272</v>
      </c>
      <c r="B19" s="7">
        <f>(((((((((B9)+(B10))+(B11))+(B12))+(B13))+(B14))+(B15))+(B16))+(B17))+(B18)</f>
        <v>0</v>
      </c>
      <c r="C19" s="7">
        <f>(((((((((C9)+(C10))+(C11))+(C12))+(C13))+(C14))+(C15))+(C16))+(C17))+(C18)</f>
        <v>0</v>
      </c>
      <c r="D19" s="7">
        <f t="shared" ref="D19" si="0">(B19)-(C19)</f>
        <v>0</v>
      </c>
      <c r="E19" s="8" t="str">
        <f t="shared" ref="E19" si="1">IF(C19=0,"",(B19)/(C19))</f>
        <v/>
      </c>
    </row>
    <row r="21" spans="1:5" x14ac:dyDescent="0.35">
      <c r="A21" s="3" t="s">
        <v>357</v>
      </c>
      <c r="B21" s="12">
        <f>B6-B19</f>
        <v>0</v>
      </c>
      <c r="C21" s="12">
        <f>C6-C19</f>
        <v>0</v>
      </c>
      <c r="D21" s="12">
        <f>D6-D19</f>
        <v>0</v>
      </c>
    </row>
  </sheetData>
  <mergeCells count="1">
    <mergeCell ref="B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5C7C4-31AD-4D31-95D4-7B65496C6FB4}">
  <dimension ref="A1:E22"/>
  <sheetViews>
    <sheetView workbookViewId="0"/>
  </sheetViews>
  <sheetFormatPr defaultRowHeight="14.5" x14ac:dyDescent="0.35"/>
  <cols>
    <col min="1" max="1" width="43.1796875" customWidth="1"/>
    <col min="2" max="3" width="11.81640625" bestFit="1" customWidth="1"/>
    <col min="4" max="4" width="11.26953125" bestFit="1" customWidth="1"/>
  </cols>
  <sheetData>
    <row r="1" spans="1:5" x14ac:dyDescent="0.35">
      <c r="A1" s="1"/>
      <c r="B1" s="48" t="s">
        <v>2</v>
      </c>
      <c r="C1" s="44"/>
      <c r="D1" s="44"/>
      <c r="E1" s="44"/>
    </row>
    <row r="2" spans="1:5" ht="24" x14ac:dyDescent="0.35">
      <c r="A2" s="1"/>
      <c r="B2" s="2" t="s">
        <v>3</v>
      </c>
      <c r="C2" s="2" t="s">
        <v>4</v>
      </c>
      <c r="D2" s="2" t="s">
        <v>5</v>
      </c>
      <c r="E2" s="2" t="s">
        <v>6</v>
      </c>
    </row>
    <row r="3" spans="1:5" ht="15.5" x14ac:dyDescent="0.35">
      <c r="A3" s="11" t="s">
        <v>355</v>
      </c>
      <c r="B3" s="10"/>
      <c r="C3" s="10"/>
      <c r="D3" s="10"/>
      <c r="E3" s="10"/>
    </row>
    <row r="4" spans="1:5" x14ac:dyDescent="0.35">
      <c r="A4" s="3" t="s">
        <v>58</v>
      </c>
      <c r="B4" s="5"/>
      <c r="C4" s="5"/>
      <c r="D4" s="5"/>
      <c r="E4" s="6"/>
    </row>
    <row r="5" spans="1:5" x14ac:dyDescent="0.35">
      <c r="A5" s="3" t="s">
        <v>59</v>
      </c>
      <c r="B5" s="5"/>
      <c r="C5" s="5"/>
      <c r="D5" s="5"/>
      <c r="E5" s="6"/>
    </row>
    <row r="6" spans="1:5" ht="15.5" x14ac:dyDescent="0.35">
      <c r="A6" s="15" t="s">
        <v>358</v>
      </c>
      <c r="B6" s="17">
        <f>SUM(B4:B5)</f>
        <v>0</v>
      </c>
      <c r="C6" s="17">
        <f>SUM(C4:C5)</f>
        <v>0</v>
      </c>
      <c r="D6" s="17">
        <f>SUM(D4:D5)</f>
        <v>0</v>
      </c>
    </row>
    <row r="7" spans="1:5" ht="15.5" x14ac:dyDescent="0.35">
      <c r="A7" s="15" t="s">
        <v>356</v>
      </c>
    </row>
    <row r="8" spans="1:5" x14ac:dyDescent="0.35">
      <c r="A8" s="3" t="s">
        <v>279</v>
      </c>
      <c r="B8" s="4"/>
      <c r="C8" s="4"/>
      <c r="D8" s="5">
        <f t="shared" ref="D8:D20" si="0">(B8)-(C8)</f>
        <v>0</v>
      </c>
      <c r="E8" s="6" t="str">
        <f t="shared" ref="E8:E20" si="1">IF(C8=0,"",(B8)/(C8))</f>
        <v/>
      </c>
    </row>
    <row r="9" spans="1:5" x14ac:dyDescent="0.35">
      <c r="A9" s="3" t="s">
        <v>280</v>
      </c>
      <c r="B9" s="5"/>
      <c r="C9" s="5"/>
      <c r="D9" s="5"/>
      <c r="E9" s="6"/>
    </row>
    <row r="10" spans="1:5" x14ac:dyDescent="0.35">
      <c r="A10" s="3" t="s">
        <v>281</v>
      </c>
      <c r="B10" s="5"/>
      <c r="C10" s="4"/>
      <c r="D10" s="5"/>
      <c r="E10" s="6"/>
    </row>
    <row r="11" spans="1:5" x14ac:dyDescent="0.35">
      <c r="A11" s="3" t="s">
        <v>282</v>
      </c>
      <c r="B11" s="5"/>
      <c r="C11" s="5"/>
      <c r="D11" s="5"/>
      <c r="E11" s="6"/>
    </row>
    <row r="12" spans="1:5" x14ac:dyDescent="0.35">
      <c r="A12" s="3" t="s">
        <v>283</v>
      </c>
      <c r="B12" s="5"/>
      <c r="C12" s="5"/>
      <c r="D12" s="5"/>
      <c r="E12" s="6"/>
    </row>
    <row r="13" spans="1:5" x14ac:dyDescent="0.35">
      <c r="A13" s="3" t="s">
        <v>284</v>
      </c>
      <c r="B13" s="5"/>
      <c r="C13" s="5"/>
      <c r="D13" s="5"/>
      <c r="E13" s="6"/>
    </row>
    <row r="14" spans="1:5" x14ac:dyDescent="0.35">
      <c r="A14" s="3" t="s">
        <v>285</v>
      </c>
      <c r="B14" s="5"/>
      <c r="C14" s="5"/>
      <c r="D14" s="5"/>
      <c r="E14" s="6"/>
    </row>
    <row r="15" spans="1:5" x14ac:dyDescent="0.35">
      <c r="A15" s="3" t="s">
        <v>286</v>
      </c>
      <c r="B15" s="5"/>
      <c r="C15" s="5"/>
      <c r="D15" s="5"/>
      <c r="E15" s="6"/>
    </row>
    <row r="16" spans="1:5" x14ac:dyDescent="0.35">
      <c r="A16" s="3" t="s">
        <v>287</v>
      </c>
      <c r="B16" s="5"/>
      <c r="C16" s="5"/>
      <c r="D16" s="5"/>
      <c r="E16" s="6"/>
    </row>
    <row r="17" spans="1:5" x14ac:dyDescent="0.35">
      <c r="A17" s="3" t="s">
        <v>288</v>
      </c>
      <c r="B17" s="5"/>
      <c r="C17" s="5"/>
      <c r="D17" s="5"/>
      <c r="E17" s="6"/>
    </row>
    <row r="18" spans="1:5" x14ac:dyDescent="0.35">
      <c r="A18" s="3" t="s">
        <v>289</v>
      </c>
      <c r="B18" s="4"/>
      <c r="C18" s="5"/>
      <c r="D18" s="5"/>
      <c r="E18" s="6"/>
    </row>
    <row r="19" spans="1:5" x14ac:dyDescent="0.35">
      <c r="A19" s="3" t="s">
        <v>290</v>
      </c>
      <c r="B19" s="4"/>
      <c r="C19" s="5"/>
      <c r="D19" s="5"/>
      <c r="E19" s="6"/>
    </row>
    <row r="20" spans="1:5" x14ac:dyDescent="0.35">
      <c r="A20" s="3" t="s">
        <v>291</v>
      </c>
      <c r="B20" s="7">
        <f>(((((((((((B8)+(B9))+(B10))+(B11))+(B12))+(B13))+(B14))+(B15))+(B16))+(B17))+(B18))+(B19)</f>
        <v>0</v>
      </c>
      <c r="C20" s="7">
        <f>(((((((((((C8)+(C9))+(C10))+(C11))+(C12))+(C13))+(C14))+(C15))+(C16))+(C17))+(C18))+(C19)</f>
        <v>0</v>
      </c>
      <c r="D20" s="7">
        <f t="shared" si="0"/>
        <v>0</v>
      </c>
      <c r="E20" s="8" t="str">
        <f t="shared" si="1"/>
        <v/>
      </c>
    </row>
    <row r="22" spans="1:5" x14ac:dyDescent="0.35">
      <c r="A22" s="3" t="s">
        <v>357</v>
      </c>
      <c r="B22" s="12">
        <f>B6-B20</f>
        <v>0</v>
      </c>
      <c r="C22" s="12">
        <f>C6-C20</f>
        <v>0</v>
      </c>
      <c r="D22" s="12">
        <f>D6-D20</f>
        <v>0</v>
      </c>
      <c r="E22" s="12" t="e">
        <f t="shared" ref="E22" si="2">E13-E20</f>
        <v>#VALUE!</v>
      </c>
    </row>
  </sheetData>
  <mergeCells count="1">
    <mergeCell ref="B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63BCC-F960-4C62-8335-F4C39C8A85F0}">
  <dimension ref="A1:F23"/>
  <sheetViews>
    <sheetView workbookViewId="0"/>
  </sheetViews>
  <sheetFormatPr defaultRowHeight="14.5" x14ac:dyDescent="0.35"/>
  <cols>
    <col min="1" max="1" width="36.453125" customWidth="1"/>
    <col min="2" max="2" width="12.26953125" bestFit="1" customWidth="1"/>
    <col min="4" max="4" width="12.26953125" bestFit="1" customWidth="1"/>
    <col min="6" max="6" width="11.54296875" bestFit="1" customWidth="1"/>
  </cols>
  <sheetData>
    <row r="1" spans="1:6" x14ac:dyDescent="0.35">
      <c r="A1" s="1"/>
      <c r="B1" s="48" t="s">
        <v>2</v>
      </c>
      <c r="C1" s="44"/>
      <c r="D1" s="44"/>
      <c r="E1" s="44"/>
    </row>
    <row r="2" spans="1:6" ht="24" x14ac:dyDescent="0.35">
      <c r="A2" s="1"/>
      <c r="B2" s="2" t="s">
        <v>3</v>
      </c>
      <c r="C2" s="2" t="s">
        <v>4</v>
      </c>
      <c r="D2" s="2" t="s">
        <v>5</v>
      </c>
      <c r="E2" s="2" t="s">
        <v>6</v>
      </c>
    </row>
    <row r="3" spans="1:6" ht="15.5" x14ac:dyDescent="0.35">
      <c r="A3" s="11" t="s">
        <v>355</v>
      </c>
      <c r="B3" s="10"/>
      <c r="C3" s="10"/>
      <c r="D3" s="10"/>
      <c r="E3" s="10"/>
    </row>
    <row r="4" spans="1:6" x14ac:dyDescent="0.35">
      <c r="A4" s="3" t="s">
        <v>364</v>
      </c>
      <c r="B4" s="5"/>
      <c r="C4" s="4"/>
      <c r="D4" s="5"/>
      <c r="E4" s="6" t="str">
        <f t="shared" ref="E4:E5" si="0">IF(C4=0,"",(B4)/(C4))</f>
        <v/>
      </c>
      <c r="F4" s="17"/>
    </row>
    <row r="5" spans="1:6" x14ac:dyDescent="0.35">
      <c r="A5" s="3" t="s">
        <v>365</v>
      </c>
      <c r="B5" s="5"/>
      <c r="C5" s="4"/>
      <c r="D5" s="5"/>
      <c r="E5" s="6" t="str">
        <f t="shared" si="0"/>
        <v/>
      </c>
      <c r="F5" s="17"/>
    </row>
    <row r="6" spans="1:6" ht="15.5" x14ac:dyDescent="0.35">
      <c r="A6" s="15" t="s">
        <v>358</v>
      </c>
      <c r="B6" s="17">
        <f>SUM(B4:B5)</f>
        <v>0</v>
      </c>
      <c r="D6" s="17">
        <f>SUM(D4:D5)</f>
        <v>0</v>
      </c>
      <c r="F6" s="17"/>
    </row>
    <row r="7" spans="1:6" ht="15.5" x14ac:dyDescent="0.35">
      <c r="A7" s="15" t="s">
        <v>356</v>
      </c>
    </row>
    <row r="8" spans="1:6" x14ac:dyDescent="0.35">
      <c r="A8" s="3" t="s">
        <v>366</v>
      </c>
      <c r="B8" s="4"/>
      <c r="C8" s="4"/>
      <c r="D8" s="5"/>
      <c r="E8" s="6" t="str">
        <f t="shared" ref="E8:E21" si="1">IF(C8=0,"",(B8)/(C8))</f>
        <v/>
      </c>
    </row>
    <row r="9" spans="1:6" x14ac:dyDescent="0.35">
      <c r="A9" s="3" t="s">
        <v>367</v>
      </c>
      <c r="B9" s="5"/>
      <c r="C9" s="4"/>
      <c r="D9" s="5"/>
      <c r="E9" s="6" t="str">
        <f t="shared" si="1"/>
        <v/>
      </c>
    </row>
    <row r="10" spans="1:6" x14ac:dyDescent="0.35">
      <c r="A10" s="3" t="s">
        <v>368</v>
      </c>
      <c r="B10" s="5"/>
      <c r="C10" s="4"/>
      <c r="D10" s="5"/>
      <c r="E10" s="6" t="str">
        <f t="shared" si="1"/>
        <v/>
      </c>
    </row>
    <row r="11" spans="1:6" x14ac:dyDescent="0.35">
      <c r="A11" s="3" t="s">
        <v>369</v>
      </c>
      <c r="B11" s="5"/>
      <c r="C11" s="4"/>
      <c r="D11" s="5"/>
      <c r="E11" s="6" t="str">
        <f t="shared" si="1"/>
        <v/>
      </c>
    </row>
    <row r="12" spans="1:6" x14ac:dyDescent="0.35">
      <c r="A12" s="3" t="s">
        <v>370</v>
      </c>
      <c r="B12" s="5"/>
      <c r="C12" s="4"/>
      <c r="D12" s="5"/>
      <c r="E12" s="6" t="str">
        <f t="shared" si="1"/>
        <v/>
      </c>
    </row>
    <row r="13" spans="1:6" x14ac:dyDescent="0.35">
      <c r="A13" s="3" t="s">
        <v>371</v>
      </c>
      <c r="B13" s="5"/>
      <c r="C13" s="4"/>
      <c r="D13" s="5"/>
      <c r="E13" s="6" t="str">
        <f t="shared" si="1"/>
        <v/>
      </c>
    </row>
    <row r="14" spans="1:6" x14ac:dyDescent="0.35">
      <c r="A14" s="3" t="s">
        <v>372</v>
      </c>
      <c r="B14" s="5"/>
      <c r="C14" s="4"/>
      <c r="D14" s="5"/>
      <c r="E14" s="6" t="str">
        <f t="shared" si="1"/>
        <v/>
      </c>
    </row>
    <row r="15" spans="1:6" x14ac:dyDescent="0.35">
      <c r="A15" s="3" t="s">
        <v>373</v>
      </c>
      <c r="B15" s="5"/>
      <c r="C15" s="4"/>
      <c r="D15" s="5"/>
      <c r="E15" s="6" t="str">
        <f t="shared" si="1"/>
        <v/>
      </c>
    </row>
    <row r="16" spans="1:6" x14ac:dyDescent="0.35">
      <c r="A16" s="3" t="s">
        <v>374</v>
      </c>
      <c r="B16" s="5"/>
      <c r="C16" s="4"/>
      <c r="D16" s="5"/>
      <c r="E16" s="6" t="str">
        <f t="shared" si="1"/>
        <v/>
      </c>
    </row>
    <row r="17" spans="1:5" x14ac:dyDescent="0.35">
      <c r="A17" s="3" t="s">
        <v>375</v>
      </c>
      <c r="B17" s="5"/>
      <c r="C17" s="4"/>
      <c r="D17" s="5"/>
      <c r="E17" s="6" t="str">
        <f t="shared" si="1"/>
        <v/>
      </c>
    </row>
    <row r="18" spans="1:5" x14ac:dyDescent="0.35">
      <c r="A18" s="3" t="s">
        <v>376</v>
      </c>
      <c r="B18" s="5"/>
      <c r="C18" s="4"/>
      <c r="D18" s="5"/>
      <c r="E18" s="6" t="str">
        <f t="shared" si="1"/>
        <v/>
      </c>
    </row>
    <row r="19" spans="1:5" x14ac:dyDescent="0.35">
      <c r="A19" s="3" t="s">
        <v>377</v>
      </c>
      <c r="B19" s="5"/>
      <c r="C19" s="4"/>
      <c r="D19" s="5"/>
      <c r="E19" s="6" t="str">
        <f t="shared" si="1"/>
        <v/>
      </c>
    </row>
    <row r="20" spans="1:5" x14ac:dyDescent="0.35">
      <c r="A20" s="3" t="s">
        <v>378</v>
      </c>
      <c r="B20" s="5"/>
      <c r="C20" s="4"/>
      <c r="D20" s="5"/>
      <c r="E20" s="6" t="str">
        <f t="shared" si="1"/>
        <v/>
      </c>
    </row>
    <row r="21" spans="1:5" x14ac:dyDescent="0.35">
      <c r="A21" s="3" t="s">
        <v>379</v>
      </c>
      <c r="B21" s="7">
        <f>((((((((((((B8)+(B9))+(B10))+(B11))+(B12))+(B13))+(B14))+(B15))+(B16))+(B17))+(B18))+(B19))+(B20)</f>
        <v>0</v>
      </c>
      <c r="C21" s="7">
        <f>((((((((((((C8)+(C9))+(C10))+(C11))+(C12))+(C13))+(C14))+(C15))+(C16))+(C17))+(C18))+(C19))+(C20)</f>
        <v>0</v>
      </c>
      <c r="D21" s="7">
        <f t="shared" ref="D21" si="2">(B21)-(C21)</f>
        <v>0</v>
      </c>
      <c r="E21" s="8" t="str">
        <f t="shared" si="1"/>
        <v/>
      </c>
    </row>
    <row r="23" spans="1:5" x14ac:dyDescent="0.35">
      <c r="A23" s="3" t="s">
        <v>357</v>
      </c>
      <c r="B23" s="12">
        <f>B6-B21</f>
        <v>0</v>
      </c>
      <c r="C23" s="12">
        <f t="shared" ref="C23:D23" si="3">C6-C21</f>
        <v>0</v>
      </c>
      <c r="D23" s="12">
        <f t="shared" si="3"/>
        <v>0</v>
      </c>
    </row>
  </sheetData>
  <mergeCells count="1">
    <mergeCell ref="B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826C-5E07-4C15-BEDB-DE9F58CE9443}">
  <dimension ref="A1:E18"/>
  <sheetViews>
    <sheetView workbookViewId="0"/>
  </sheetViews>
  <sheetFormatPr defaultRowHeight="14.5" x14ac:dyDescent="0.35"/>
  <cols>
    <col min="1" max="1" width="61.1796875" customWidth="1"/>
    <col min="2" max="2" width="11.26953125" bestFit="1" customWidth="1"/>
    <col min="4" max="4" width="11.26953125" bestFit="1" customWidth="1"/>
  </cols>
  <sheetData>
    <row r="1" spans="1:5" x14ac:dyDescent="0.35">
      <c r="A1" s="1"/>
      <c r="B1" s="48" t="s">
        <v>2</v>
      </c>
      <c r="C1" s="44"/>
      <c r="D1" s="44"/>
      <c r="E1" s="44"/>
    </row>
    <row r="2" spans="1:5" ht="24" x14ac:dyDescent="0.35">
      <c r="A2" s="1"/>
      <c r="B2" s="2" t="s">
        <v>3</v>
      </c>
      <c r="C2" s="2" t="s">
        <v>4</v>
      </c>
      <c r="D2" s="2" t="s">
        <v>5</v>
      </c>
      <c r="E2" s="2" t="s">
        <v>6</v>
      </c>
    </row>
    <row r="3" spans="1:5" ht="15.5" x14ac:dyDescent="0.35">
      <c r="A3" s="11" t="s">
        <v>355</v>
      </c>
      <c r="B3" s="10"/>
      <c r="C3" s="10"/>
      <c r="D3" s="10"/>
      <c r="E3" s="10"/>
    </row>
    <row r="4" spans="1:5" x14ac:dyDescent="0.35">
      <c r="A4" s="3" t="s">
        <v>380</v>
      </c>
      <c r="B4" s="5"/>
      <c r="C4" s="4"/>
      <c r="D4" s="5"/>
      <c r="E4" s="6" t="str">
        <f t="shared" ref="E4:E5" si="0">IF(C4=0,"",(B4)/(C4))</f>
        <v/>
      </c>
    </row>
    <row r="5" spans="1:5" x14ac:dyDescent="0.35">
      <c r="A5" s="3" t="s">
        <v>381</v>
      </c>
      <c r="B5" s="5"/>
      <c r="C5" s="4"/>
      <c r="D5" s="5"/>
      <c r="E5" s="6" t="str">
        <f t="shared" si="0"/>
        <v/>
      </c>
    </row>
    <row r="6" spans="1:5" x14ac:dyDescent="0.35">
      <c r="A6" s="3" t="s">
        <v>358</v>
      </c>
      <c r="B6" s="5">
        <f>SUM(B4:B5)</f>
        <v>0</v>
      </c>
      <c r="C6" s="4"/>
      <c r="D6" s="5">
        <f>SUM(D4:D5)</f>
        <v>0</v>
      </c>
      <c r="E6" s="6"/>
    </row>
    <row r="7" spans="1:5" ht="15.5" x14ac:dyDescent="0.35">
      <c r="A7" s="15" t="s">
        <v>356</v>
      </c>
    </row>
    <row r="8" spans="1:5" x14ac:dyDescent="0.35">
      <c r="A8" s="3" t="s">
        <v>382</v>
      </c>
      <c r="B8" s="5"/>
      <c r="C8" s="4"/>
      <c r="D8" s="5"/>
      <c r="E8" s="6" t="str">
        <f t="shared" ref="E8:E16" si="1">IF(C8=0,"",(B8)/(C8))</f>
        <v/>
      </c>
    </row>
    <row r="9" spans="1:5" x14ac:dyDescent="0.35">
      <c r="A9" s="3" t="s">
        <v>383</v>
      </c>
      <c r="B9" s="5"/>
      <c r="C9" s="4"/>
      <c r="D9" s="5"/>
      <c r="E9" s="6" t="str">
        <f t="shared" si="1"/>
        <v/>
      </c>
    </row>
    <row r="10" spans="1:5" x14ac:dyDescent="0.35">
      <c r="A10" s="3" t="s">
        <v>384</v>
      </c>
      <c r="B10" s="5"/>
      <c r="C10" s="4"/>
      <c r="D10" s="5"/>
      <c r="E10" s="6" t="str">
        <f t="shared" si="1"/>
        <v/>
      </c>
    </row>
    <row r="11" spans="1:5" x14ac:dyDescent="0.35">
      <c r="A11" s="3" t="s">
        <v>385</v>
      </c>
      <c r="B11" s="5"/>
      <c r="C11" s="4"/>
      <c r="D11" s="5"/>
      <c r="E11" s="6" t="str">
        <f t="shared" si="1"/>
        <v/>
      </c>
    </row>
    <row r="12" spans="1:5" x14ac:dyDescent="0.35">
      <c r="A12" s="3" t="s">
        <v>386</v>
      </c>
      <c r="B12" s="5"/>
      <c r="C12" s="4"/>
      <c r="D12" s="5"/>
      <c r="E12" s="6" t="str">
        <f t="shared" si="1"/>
        <v/>
      </c>
    </row>
    <row r="13" spans="1:5" x14ac:dyDescent="0.35">
      <c r="A13" s="3" t="s">
        <v>387</v>
      </c>
      <c r="B13" s="5"/>
      <c r="C13" s="4"/>
      <c r="D13" s="5"/>
      <c r="E13" s="6" t="str">
        <f t="shared" si="1"/>
        <v/>
      </c>
    </row>
    <row r="14" spans="1:5" x14ac:dyDescent="0.35">
      <c r="A14" s="3" t="s">
        <v>388</v>
      </c>
      <c r="B14" s="5"/>
      <c r="C14" s="4"/>
      <c r="D14" s="5"/>
      <c r="E14" s="6" t="str">
        <f t="shared" si="1"/>
        <v/>
      </c>
    </row>
    <row r="15" spans="1:5" x14ac:dyDescent="0.35">
      <c r="A15" s="3" t="s">
        <v>389</v>
      </c>
      <c r="B15" s="5"/>
      <c r="C15" s="4"/>
      <c r="D15" s="5"/>
      <c r="E15" s="6" t="str">
        <f t="shared" si="1"/>
        <v/>
      </c>
    </row>
    <row r="16" spans="1:5" x14ac:dyDescent="0.35">
      <c r="A16" s="3" t="s">
        <v>390</v>
      </c>
      <c r="B16" s="7">
        <f>(((((((B8)+(B9))+(B10))+(B11))+(B12))+(B13))+(B14))+(B15)</f>
        <v>0</v>
      </c>
      <c r="C16" s="7">
        <f>(((((((C8)+(C9))+(C10))+(C11))+(C12))+(C13))+(C14))+(C15)</f>
        <v>0</v>
      </c>
      <c r="D16" s="7">
        <f t="shared" ref="D16" si="2">(B16)-(C16)</f>
        <v>0</v>
      </c>
      <c r="E16" s="8" t="str">
        <f t="shared" si="1"/>
        <v/>
      </c>
    </row>
    <row r="18" spans="1:4" x14ac:dyDescent="0.35">
      <c r="A18" s="3" t="s">
        <v>357</v>
      </c>
      <c r="B18" s="12">
        <f>B6-B16</f>
        <v>0</v>
      </c>
      <c r="C18" s="12">
        <f t="shared" ref="C18:D18" si="3">C6-C16</f>
        <v>0</v>
      </c>
      <c r="D18" s="12">
        <f t="shared" si="3"/>
        <v>0</v>
      </c>
    </row>
  </sheetData>
  <mergeCells count="1"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40199-F30F-43AB-8594-EF30601F6338}">
  <dimension ref="A1:L27"/>
  <sheetViews>
    <sheetView zoomScale="110" zoomScaleNormal="110" workbookViewId="0"/>
  </sheetViews>
  <sheetFormatPr defaultRowHeight="14.5" x14ac:dyDescent="0.35"/>
  <cols>
    <col min="1" max="1" width="33" customWidth="1"/>
    <col min="2" max="3" width="10.54296875" bestFit="1" customWidth="1"/>
    <col min="4" max="4" width="10" bestFit="1" customWidth="1"/>
    <col min="5" max="5" width="14" bestFit="1" customWidth="1"/>
    <col min="6" max="6" width="10.453125" bestFit="1" customWidth="1"/>
    <col min="7" max="7" width="8.1796875" bestFit="1" customWidth="1"/>
    <col min="8" max="8" width="10" bestFit="1" customWidth="1"/>
    <col min="9" max="9" width="9.7265625" bestFit="1" customWidth="1"/>
    <col min="10" max="10" width="10.54296875" bestFit="1" customWidth="1"/>
    <col min="11" max="11" width="10.26953125" bestFit="1" customWidth="1"/>
    <col min="12" max="12" width="9" bestFit="1" customWidth="1"/>
  </cols>
  <sheetData>
    <row r="1" spans="1:12" ht="31.5" customHeight="1" x14ac:dyDescent="0.35">
      <c r="A1" s="26" t="s">
        <v>391</v>
      </c>
      <c r="B1" s="27" t="s">
        <v>320</v>
      </c>
      <c r="C1" s="27" t="s">
        <v>321</v>
      </c>
      <c r="D1" s="27" t="s">
        <v>322</v>
      </c>
      <c r="E1" s="27" t="s">
        <v>323</v>
      </c>
      <c r="F1" s="27" t="s">
        <v>324</v>
      </c>
      <c r="G1" s="27" t="s">
        <v>325</v>
      </c>
      <c r="H1" s="27" t="s">
        <v>326</v>
      </c>
      <c r="I1" s="27" t="s">
        <v>327</v>
      </c>
      <c r="J1" s="27" t="s">
        <v>328</v>
      </c>
      <c r="K1" s="28" t="s">
        <v>329</v>
      </c>
      <c r="L1" s="49" t="s">
        <v>392</v>
      </c>
    </row>
    <row r="2" spans="1:12" ht="18" customHeight="1" x14ac:dyDescent="0.35">
      <c r="A2" s="29" t="s">
        <v>330</v>
      </c>
      <c r="B2" s="30">
        <v>19</v>
      </c>
      <c r="C2" s="30">
        <v>19</v>
      </c>
      <c r="D2" s="30">
        <v>10</v>
      </c>
      <c r="E2" s="30">
        <v>7</v>
      </c>
      <c r="F2" s="30">
        <v>119</v>
      </c>
      <c r="G2" s="30">
        <v>32</v>
      </c>
      <c r="H2" s="30">
        <v>67</v>
      </c>
      <c r="I2" s="30">
        <v>13</v>
      </c>
      <c r="J2" s="30">
        <v>36</v>
      </c>
      <c r="K2" s="30">
        <v>20</v>
      </c>
      <c r="L2" s="50">
        <v>25</v>
      </c>
    </row>
    <row r="3" spans="1:12" ht="18" customHeight="1" x14ac:dyDescent="0.35">
      <c r="A3" s="29" t="s">
        <v>331</v>
      </c>
      <c r="B3" s="30">
        <v>4</v>
      </c>
      <c r="C3" s="30">
        <v>4</v>
      </c>
      <c r="D3" s="30"/>
      <c r="E3" s="30"/>
      <c r="F3" s="30">
        <v>2</v>
      </c>
      <c r="G3" s="30">
        <v>2</v>
      </c>
      <c r="H3" s="30"/>
      <c r="I3" s="30"/>
      <c r="J3" s="30"/>
      <c r="K3" s="30"/>
    </row>
    <row r="4" spans="1:12" ht="18" customHeight="1" x14ac:dyDescent="0.35">
      <c r="A4" s="29" t="s">
        <v>332</v>
      </c>
      <c r="B4" s="30">
        <v>5</v>
      </c>
      <c r="C4" s="30">
        <v>4</v>
      </c>
      <c r="D4" s="30">
        <v>4</v>
      </c>
      <c r="E4" s="30">
        <v>0</v>
      </c>
      <c r="F4" s="30">
        <v>16</v>
      </c>
      <c r="G4" s="30">
        <v>5</v>
      </c>
      <c r="H4" s="30">
        <v>10</v>
      </c>
      <c r="I4" s="30">
        <v>3</v>
      </c>
      <c r="J4" s="30">
        <v>5</v>
      </c>
      <c r="K4" s="30">
        <v>5</v>
      </c>
    </row>
    <row r="5" spans="1:12" ht="18" customHeight="1" x14ac:dyDescent="0.35">
      <c r="A5" s="29" t="s">
        <v>333</v>
      </c>
      <c r="B5" s="30">
        <v>2</v>
      </c>
      <c r="C5" s="30">
        <v>2</v>
      </c>
      <c r="D5" s="30"/>
      <c r="E5" s="30"/>
      <c r="F5" s="30">
        <v>2</v>
      </c>
      <c r="G5" s="30">
        <v>2</v>
      </c>
      <c r="H5" s="30">
        <v>2</v>
      </c>
      <c r="I5" s="30"/>
      <c r="J5" s="30">
        <v>2</v>
      </c>
      <c r="K5" s="30"/>
    </row>
    <row r="6" spans="1:12" ht="18" customHeight="1" x14ac:dyDescent="0.35">
      <c r="A6" s="29" t="s">
        <v>334</v>
      </c>
      <c r="B6" s="30">
        <v>2</v>
      </c>
      <c r="C6" s="30">
        <v>2</v>
      </c>
      <c r="D6" s="30">
        <v>1</v>
      </c>
      <c r="E6" s="30">
        <v>1</v>
      </c>
      <c r="F6" s="30">
        <v>16</v>
      </c>
      <c r="G6" s="30"/>
      <c r="H6" s="30">
        <v>7</v>
      </c>
      <c r="I6" s="30"/>
      <c r="J6" s="30">
        <v>2</v>
      </c>
      <c r="K6" s="30">
        <v>2</v>
      </c>
    </row>
    <row r="7" spans="1:12" ht="18" customHeight="1" x14ac:dyDescent="0.35">
      <c r="A7" s="29" t="s">
        <v>394</v>
      </c>
      <c r="B7" s="31">
        <v>900</v>
      </c>
      <c r="C7" s="31">
        <v>900</v>
      </c>
      <c r="D7" s="31">
        <v>450</v>
      </c>
      <c r="E7" s="31">
        <v>450</v>
      </c>
      <c r="F7" s="31">
        <v>2000</v>
      </c>
      <c r="G7" s="30"/>
      <c r="H7" s="31">
        <v>1400</v>
      </c>
      <c r="I7" s="31"/>
      <c r="J7" s="31">
        <v>900</v>
      </c>
      <c r="K7" s="32">
        <v>900</v>
      </c>
    </row>
    <row r="8" spans="1:12" ht="18" customHeight="1" x14ac:dyDescent="0.35">
      <c r="A8" s="29" t="s">
        <v>335</v>
      </c>
      <c r="B8" s="30">
        <v>4</v>
      </c>
      <c r="C8" s="30">
        <v>5</v>
      </c>
      <c r="D8" s="30">
        <v>5</v>
      </c>
      <c r="E8" s="30">
        <v>5</v>
      </c>
      <c r="F8" s="30">
        <v>9</v>
      </c>
      <c r="G8" s="30">
        <v>9</v>
      </c>
      <c r="H8" s="30">
        <v>2</v>
      </c>
      <c r="I8" s="30">
        <v>2</v>
      </c>
      <c r="J8" s="30">
        <v>4</v>
      </c>
      <c r="K8" s="32"/>
    </row>
    <row r="9" spans="1:12" ht="18" customHeight="1" x14ac:dyDescent="0.35">
      <c r="A9" s="29" t="s">
        <v>336</v>
      </c>
      <c r="B9" s="30">
        <v>5</v>
      </c>
      <c r="C9" s="30">
        <v>6</v>
      </c>
      <c r="D9" s="30">
        <v>6</v>
      </c>
      <c r="E9" s="30">
        <v>6</v>
      </c>
      <c r="F9" s="30">
        <v>9</v>
      </c>
      <c r="G9" s="30">
        <v>9</v>
      </c>
      <c r="H9" s="30">
        <v>3</v>
      </c>
      <c r="I9" s="30">
        <v>3</v>
      </c>
      <c r="J9" s="30">
        <v>5</v>
      </c>
      <c r="K9" s="32"/>
    </row>
    <row r="10" spans="1:12" ht="18" customHeight="1" x14ac:dyDescent="0.35">
      <c r="A10" s="33" t="s">
        <v>337</v>
      </c>
      <c r="B10" s="34">
        <v>25</v>
      </c>
      <c r="C10" s="34">
        <v>25</v>
      </c>
      <c r="D10" s="34">
        <v>25</v>
      </c>
      <c r="E10" s="34"/>
      <c r="F10" s="35"/>
      <c r="G10" s="34"/>
      <c r="H10" s="34">
        <v>25</v>
      </c>
      <c r="I10" s="34">
        <v>25</v>
      </c>
      <c r="J10" s="34">
        <v>25</v>
      </c>
      <c r="K10" s="32">
        <v>25</v>
      </c>
    </row>
    <row r="11" spans="1:12" ht="18" customHeight="1" x14ac:dyDescent="0.35">
      <c r="A11" s="33" t="s">
        <v>338</v>
      </c>
      <c r="B11" s="34">
        <v>625</v>
      </c>
      <c r="C11" s="34">
        <v>600</v>
      </c>
      <c r="D11" s="34">
        <v>600</v>
      </c>
      <c r="E11" s="34">
        <v>300</v>
      </c>
      <c r="F11" s="35"/>
      <c r="G11" s="34"/>
      <c r="H11" s="34">
        <v>750</v>
      </c>
      <c r="I11" s="34">
        <v>225</v>
      </c>
      <c r="J11" s="34">
        <v>625</v>
      </c>
      <c r="K11" s="31">
        <v>625</v>
      </c>
    </row>
    <row r="12" spans="1:12" ht="18" customHeight="1" x14ac:dyDescent="0.35">
      <c r="A12" s="33" t="s">
        <v>339</v>
      </c>
      <c r="B12" s="34"/>
      <c r="C12" s="34"/>
      <c r="D12" s="34"/>
      <c r="E12" s="34"/>
      <c r="F12" s="34"/>
      <c r="G12" s="34"/>
      <c r="H12" s="34"/>
      <c r="I12" s="34"/>
      <c r="J12" s="34"/>
      <c r="K12" s="31"/>
    </row>
    <row r="13" spans="1:12" x14ac:dyDescent="0.35">
      <c r="A13" s="33" t="s">
        <v>450</v>
      </c>
      <c r="B13" s="34">
        <v>6500</v>
      </c>
      <c r="C13" s="34">
        <v>5400</v>
      </c>
      <c r="D13" s="34">
        <v>2800</v>
      </c>
      <c r="E13" s="34">
        <v>2800</v>
      </c>
      <c r="F13" s="34">
        <v>48000</v>
      </c>
      <c r="G13" s="34"/>
      <c r="H13" s="34">
        <v>24000</v>
      </c>
      <c r="I13" s="34">
        <v>4600</v>
      </c>
      <c r="J13" s="34">
        <v>18000</v>
      </c>
      <c r="K13" s="32">
        <v>4600</v>
      </c>
      <c r="L13" s="51">
        <v>9000</v>
      </c>
    </row>
    <row r="14" spans="1:12" x14ac:dyDescent="0.35">
      <c r="A14" s="29" t="s">
        <v>340</v>
      </c>
      <c r="B14" s="34"/>
      <c r="C14" s="34"/>
      <c r="D14" s="34"/>
      <c r="E14" s="34"/>
      <c r="F14" s="34">
        <v>2465</v>
      </c>
      <c r="G14" s="34"/>
      <c r="H14" s="34"/>
      <c r="I14" s="34"/>
      <c r="J14" s="34"/>
      <c r="K14" s="31"/>
    </row>
    <row r="15" spans="1:12" ht="18" customHeight="1" x14ac:dyDescent="0.35">
      <c r="A15" s="29" t="s">
        <v>341</v>
      </c>
      <c r="B15" s="34"/>
      <c r="C15" s="34"/>
      <c r="D15" s="34"/>
      <c r="E15" s="34"/>
      <c r="F15" s="34"/>
      <c r="G15" s="34"/>
      <c r="H15" s="34"/>
      <c r="I15" s="34"/>
      <c r="J15" s="34"/>
      <c r="K15" s="31"/>
    </row>
    <row r="16" spans="1:12" ht="18" customHeight="1" x14ac:dyDescent="0.35">
      <c r="A16" s="29" t="s">
        <v>342</v>
      </c>
      <c r="B16" s="34">
        <v>7500</v>
      </c>
      <c r="C16" s="34">
        <v>6000</v>
      </c>
      <c r="D16" s="34">
        <v>6000</v>
      </c>
      <c r="E16" s="34">
        <v>0</v>
      </c>
      <c r="F16" s="34">
        <v>60000</v>
      </c>
      <c r="G16" s="34"/>
      <c r="H16" s="34">
        <v>1500</v>
      </c>
      <c r="I16" s="34">
        <v>1000</v>
      </c>
      <c r="J16" s="34">
        <v>2000</v>
      </c>
      <c r="K16" s="31">
        <v>6000</v>
      </c>
      <c r="L16" s="51">
        <v>1500</v>
      </c>
    </row>
    <row r="17" spans="1:12" ht="18" customHeight="1" x14ac:dyDescent="0.35">
      <c r="A17" s="29" t="s">
        <v>343</v>
      </c>
      <c r="B17" s="34">
        <v>1500</v>
      </c>
      <c r="C17" s="34">
        <v>1500</v>
      </c>
      <c r="D17" s="34">
        <v>1500</v>
      </c>
      <c r="E17" s="34">
        <v>1500</v>
      </c>
      <c r="F17" s="34">
        <v>16000</v>
      </c>
      <c r="G17" s="34"/>
      <c r="H17" s="34">
        <v>3350</v>
      </c>
      <c r="I17" s="34">
        <v>775</v>
      </c>
      <c r="J17" s="34">
        <v>3000</v>
      </c>
      <c r="K17" s="31"/>
      <c r="L17" s="51">
        <v>1000</v>
      </c>
    </row>
    <row r="18" spans="1:12" ht="18" customHeight="1" x14ac:dyDescent="0.35">
      <c r="A18" s="29" t="s">
        <v>344</v>
      </c>
      <c r="B18" s="34">
        <v>8000</v>
      </c>
      <c r="C18" s="34">
        <v>5000</v>
      </c>
      <c r="D18" s="34">
        <v>5000</v>
      </c>
      <c r="E18" s="34">
        <v>0</v>
      </c>
      <c r="F18" s="34">
        <v>65000</v>
      </c>
      <c r="G18" s="34"/>
      <c r="H18" s="34">
        <v>1800</v>
      </c>
      <c r="I18" s="34">
        <v>900</v>
      </c>
      <c r="J18" s="34">
        <v>2500</v>
      </c>
      <c r="K18" s="31">
        <v>15000</v>
      </c>
      <c r="L18" s="52">
        <v>1400</v>
      </c>
    </row>
    <row r="19" spans="1:12" ht="18" customHeight="1" x14ac:dyDescent="0.35">
      <c r="A19" s="29" t="s">
        <v>345</v>
      </c>
      <c r="B19" s="36"/>
      <c r="C19" s="36">
        <v>200</v>
      </c>
      <c r="D19" s="36">
        <v>200</v>
      </c>
      <c r="E19" s="34"/>
      <c r="F19" s="36">
        <v>750</v>
      </c>
      <c r="G19" s="34"/>
      <c r="H19" s="36"/>
      <c r="I19" s="36"/>
      <c r="J19" s="34">
        <v>0</v>
      </c>
      <c r="K19" s="31">
        <v>300</v>
      </c>
    </row>
    <row r="20" spans="1:12" ht="18" customHeight="1" x14ac:dyDescent="0.35">
      <c r="A20" s="29" t="s">
        <v>346</v>
      </c>
      <c r="B20" s="37">
        <v>6600</v>
      </c>
      <c r="C20" s="37">
        <v>6600</v>
      </c>
      <c r="D20" s="37">
        <v>3200</v>
      </c>
      <c r="E20" s="34" t="s">
        <v>347</v>
      </c>
      <c r="F20" s="34">
        <v>10000</v>
      </c>
      <c r="G20" s="34"/>
      <c r="H20" s="36"/>
      <c r="I20" s="36"/>
      <c r="J20" s="34">
        <v>1200</v>
      </c>
      <c r="K20" s="31"/>
    </row>
    <row r="21" spans="1:12" ht="18" customHeight="1" x14ac:dyDescent="0.35">
      <c r="A21" s="29" t="s">
        <v>348</v>
      </c>
      <c r="B21" s="37"/>
      <c r="C21" s="37"/>
      <c r="D21" s="37"/>
      <c r="E21" s="34"/>
      <c r="F21" s="34">
        <v>2000</v>
      </c>
      <c r="G21" s="34"/>
      <c r="H21" s="36">
        <v>420</v>
      </c>
      <c r="I21" s="36"/>
      <c r="J21" s="34">
        <v>800</v>
      </c>
      <c r="K21" s="31">
        <v>2000</v>
      </c>
    </row>
    <row r="22" spans="1:12" ht="18" customHeight="1" x14ac:dyDescent="0.35">
      <c r="A22" s="29" t="s">
        <v>349</v>
      </c>
      <c r="B22" s="36">
        <v>300</v>
      </c>
      <c r="C22" s="36">
        <v>300</v>
      </c>
      <c r="D22" s="36">
        <v>300</v>
      </c>
      <c r="E22" s="38">
        <v>300</v>
      </c>
      <c r="F22" s="34">
        <v>400</v>
      </c>
      <c r="G22" s="34"/>
      <c r="H22" s="36">
        <v>150</v>
      </c>
      <c r="I22" s="36">
        <v>150</v>
      </c>
      <c r="J22" s="38">
        <v>0</v>
      </c>
      <c r="K22" s="31">
        <v>0</v>
      </c>
    </row>
    <row r="23" spans="1:12" ht="18" customHeight="1" x14ac:dyDescent="0.35">
      <c r="A23" s="29" t="s">
        <v>350</v>
      </c>
      <c r="B23" s="34">
        <f>B7+B11+B13+B16+B17+B18+B20+B22</f>
        <v>31925</v>
      </c>
      <c r="C23" s="34">
        <f>C7+C11+C13+C16+C17+C18+C20+C22+C19</f>
        <v>26500</v>
      </c>
      <c r="D23" s="34">
        <f>D7+D11+D13+D16+D17+D18+D20+D22+D19</f>
        <v>20050</v>
      </c>
      <c r="E23" s="34">
        <f>E7+E11+E13+E16+E17+E22</f>
        <v>5350</v>
      </c>
      <c r="F23" s="34">
        <f>F7+F11+F13+F16+F17+F18+F20+F19+F21+F22</f>
        <v>204150</v>
      </c>
      <c r="G23" s="34"/>
      <c r="H23" s="34">
        <f>H7+H11+H13+H16+H17+H18+H20+H22+H21</f>
        <v>33370</v>
      </c>
      <c r="I23" s="34">
        <f>I7+I11+I13+I16+I17+I18+I20+I22</f>
        <v>7650</v>
      </c>
      <c r="J23" s="34">
        <f>J7+J11+J13+J16+J17+J18+J20+J22+J21</f>
        <v>29025</v>
      </c>
      <c r="K23" s="32">
        <f>K13+K16+K18+K22+K11+K7+K19+K21</f>
        <v>29425</v>
      </c>
    </row>
    <row r="24" spans="1:12" ht="18" customHeight="1" x14ac:dyDescent="0.35">
      <c r="A24" s="29" t="s">
        <v>351</v>
      </c>
      <c r="B24" s="34">
        <f>B23/B2</f>
        <v>1680.2631578947369</v>
      </c>
      <c r="C24" s="34">
        <f>C23/C2</f>
        <v>1394.7368421052631</v>
      </c>
      <c r="D24" s="34">
        <f>D23/D2</f>
        <v>2005</v>
      </c>
      <c r="E24" s="34">
        <f>E23/E2</f>
        <v>764.28571428571433</v>
      </c>
      <c r="F24" s="34">
        <f>F23/F2</f>
        <v>1715.546218487395</v>
      </c>
      <c r="G24" s="34"/>
      <c r="H24" s="34">
        <f>H23/H2</f>
        <v>498.05970149253733</v>
      </c>
      <c r="I24" s="34">
        <f>I23/I2</f>
        <v>588.46153846153845</v>
      </c>
      <c r="J24" s="34">
        <f>J23/J2</f>
        <v>806.25</v>
      </c>
      <c r="K24" s="32">
        <f>K23/K2</f>
        <v>1471.25</v>
      </c>
    </row>
    <row r="25" spans="1:12" ht="18" customHeight="1" x14ac:dyDescent="0.35">
      <c r="A25" s="29" t="s">
        <v>352</v>
      </c>
      <c r="B25" s="34">
        <v>700</v>
      </c>
      <c r="C25" s="34">
        <v>700</v>
      </c>
      <c r="D25" s="34">
        <v>700</v>
      </c>
      <c r="E25" s="34">
        <v>300</v>
      </c>
      <c r="F25" s="34">
        <v>1095</v>
      </c>
      <c r="G25" s="34">
        <v>1095</v>
      </c>
      <c r="H25" s="34">
        <v>300</v>
      </c>
      <c r="I25" s="34">
        <v>300</v>
      </c>
      <c r="J25" s="34">
        <v>450</v>
      </c>
      <c r="K25" s="55" t="s">
        <v>446</v>
      </c>
      <c r="L25" s="51" t="s">
        <v>393</v>
      </c>
    </row>
    <row r="26" spans="1:12" ht="18" customHeight="1" x14ac:dyDescent="0.35">
      <c r="A26" s="39" t="s">
        <v>353</v>
      </c>
      <c r="B26" s="40">
        <f>B25-B24</f>
        <v>-980.26315789473688</v>
      </c>
      <c r="C26" s="40">
        <f>C25-C24</f>
        <v>-694.73684210526312</v>
      </c>
      <c r="D26" s="40">
        <f>D25-D24</f>
        <v>-1305</v>
      </c>
      <c r="E26" s="40">
        <f>E25-E24</f>
        <v>-464.28571428571433</v>
      </c>
      <c r="F26" s="40">
        <f t="shared" ref="F26:J26" si="0">F25-F24</f>
        <v>-620.54621848739498</v>
      </c>
      <c r="G26" s="40"/>
      <c r="H26" s="40">
        <f t="shared" si="0"/>
        <v>-198.05970149253733</v>
      </c>
      <c r="I26" s="40">
        <f>I25-I24</f>
        <v>-288.46153846153845</v>
      </c>
      <c r="J26" s="40">
        <f t="shared" si="0"/>
        <v>-356.25</v>
      </c>
      <c r="K26" s="40"/>
    </row>
    <row r="27" spans="1:12" ht="18" customHeight="1" x14ac:dyDescent="0.35">
      <c r="A27" s="41" t="s">
        <v>354</v>
      </c>
      <c r="B27" s="42">
        <f>B26*B2</f>
        <v>-18625</v>
      </c>
      <c r="C27" s="42">
        <f>C26*C2</f>
        <v>-13200</v>
      </c>
      <c r="D27" s="42">
        <f>D26*14</f>
        <v>-18270</v>
      </c>
      <c r="E27" s="42">
        <f>E26*14</f>
        <v>-6500.0000000000009</v>
      </c>
      <c r="F27" s="42">
        <f>F26*115</f>
        <v>-71362.815126050424</v>
      </c>
      <c r="G27" s="42"/>
      <c r="H27" s="42">
        <f>H26*H2</f>
        <v>-13270.000000000002</v>
      </c>
      <c r="I27" s="42">
        <f>I26*I2</f>
        <v>-3750</v>
      </c>
      <c r="J27" s="42">
        <f>J26*J2</f>
        <v>-12825</v>
      </c>
      <c r="K27" s="42">
        <f>K26*K2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0CA8-7550-4A3E-A552-D5C6498EE015}">
  <dimension ref="A1:F8"/>
  <sheetViews>
    <sheetView workbookViewId="0"/>
  </sheetViews>
  <sheetFormatPr defaultRowHeight="14.5" x14ac:dyDescent="0.35"/>
  <cols>
    <col min="1" max="1" width="37.453125" customWidth="1"/>
    <col min="2" max="2" width="14.26953125" customWidth="1"/>
    <col min="3" max="3" width="18.1796875" customWidth="1"/>
    <col min="4" max="4" width="10.7265625" bestFit="1" customWidth="1"/>
    <col min="5" max="5" width="8.26953125" bestFit="1" customWidth="1"/>
    <col min="6" max="6" width="21.54296875" customWidth="1"/>
  </cols>
  <sheetData>
    <row r="1" spans="1:6" x14ac:dyDescent="0.35">
      <c r="A1" s="1"/>
      <c r="B1" s="48" t="s">
        <v>2</v>
      </c>
      <c r="C1" s="44"/>
      <c r="D1" s="44"/>
      <c r="E1" s="44"/>
    </row>
    <row r="2" spans="1:6" ht="24" x14ac:dyDescent="0.35">
      <c r="A2" s="1"/>
      <c r="B2" s="2" t="s">
        <v>3</v>
      </c>
      <c r="C2" s="2" t="s">
        <v>4</v>
      </c>
      <c r="D2" s="2" t="s">
        <v>5</v>
      </c>
      <c r="E2" s="2" t="s">
        <v>6</v>
      </c>
      <c r="F2" s="10" t="s">
        <v>395</v>
      </c>
    </row>
    <row r="3" spans="1:6" ht="15.5" x14ac:dyDescent="0.35">
      <c r="A3" s="11" t="s">
        <v>355</v>
      </c>
      <c r="B3" s="10"/>
      <c r="C3" s="10"/>
      <c r="D3" s="10"/>
      <c r="E3" s="10"/>
    </row>
    <row r="4" spans="1:6" x14ac:dyDescent="0.35">
      <c r="A4" s="20" t="s">
        <v>54</v>
      </c>
      <c r="B4" s="22">
        <f>8596.39</f>
        <v>8596.39</v>
      </c>
      <c r="C4" s="22">
        <f>5500</f>
        <v>5500</v>
      </c>
      <c r="D4" s="22">
        <f t="shared" ref="D4" si="0">(B4)-(C4)</f>
        <v>3096.3899999999994</v>
      </c>
      <c r="E4" s="23">
        <f t="shared" ref="E4" si="1">IF(C4=0,"",(B4)/(C4))</f>
        <v>1.5629799999999998</v>
      </c>
    </row>
    <row r="5" spans="1:6" ht="15.5" x14ac:dyDescent="0.35">
      <c r="A5" s="9" t="s">
        <v>356</v>
      </c>
    </row>
    <row r="6" spans="1:6" ht="22" x14ac:dyDescent="0.35">
      <c r="A6" s="20" t="s">
        <v>396</v>
      </c>
      <c r="B6" s="24">
        <v>11591.4</v>
      </c>
      <c r="C6" s="24">
        <v>6100</v>
      </c>
      <c r="D6" s="24">
        <f t="shared" ref="D6:D7" si="2">(B6)-(C6)</f>
        <v>5491.4</v>
      </c>
      <c r="E6" s="25">
        <f t="shared" ref="E6:E7" si="3">IF(C6=0,"",(B6)/(C6))</f>
        <v>1.9002295081967213</v>
      </c>
    </row>
    <row r="7" spans="1:6" x14ac:dyDescent="0.35">
      <c r="A7" s="20" t="s">
        <v>274</v>
      </c>
      <c r="B7" s="22">
        <f>250</f>
        <v>250</v>
      </c>
      <c r="C7" s="22">
        <f>1000</f>
        <v>1000</v>
      </c>
      <c r="D7" s="22">
        <f t="shared" si="2"/>
        <v>-750</v>
      </c>
      <c r="E7" s="23">
        <f t="shared" si="3"/>
        <v>0.25</v>
      </c>
    </row>
    <row r="8" spans="1:6" x14ac:dyDescent="0.35">
      <c r="A8" s="3" t="s">
        <v>357</v>
      </c>
      <c r="B8" s="12">
        <f>B4-B6-B7</f>
        <v>-3245.01</v>
      </c>
      <c r="C8" s="12">
        <f>C4-C6-C7</f>
        <v>-1600</v>
      </c>
      <c r="D8" s="12">
        <f>D4-D6-D7</f>
        <v>-1645.0100000000002</v>
      </c>
      <c r="E8" s="18"/>
    </row>
  </sheetData>
  <mergeCells count="1"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12C38-BFE2-4B7E-A417-39F5C37DBEA6}">
  <dimension ref="A1:G23"/>
  <sheetViews>
    <sheetView workbookViewId="0"/>
  </sheetViews>
  <sheetFormatPr defaultRowHeight="14.5" x14ac:dyDescent="0.35"/>
  <cols>
    <col min="1" max="1" width="44.1796875" customWidth="1"/>
    <col min="2" max="2" width="12.26953125" bestFit="1" customWidth="1"/>
    <col min="3" max="3" width="11" bestFit="1" customWidth="1"/>
    <col min="4" max="4" width="12.26953125" bestFit="1" customWidth="1"/>
    <col min="7" max="7" width="15.7265625" customWidth="1"/>
  </cols>
  <sheetData>
    <row r="1" spans="1:7" x14ac:dyDescent="0.35">
      <c r="A1" s="1"/>
      <c r="B1" s="48" t="s">
        <v>2</v>
      </c>
      <c r="C1" s="44"/>
      <c r="D1" s="44"/>
      <c r="E1" s="44"/>
    </row>
    <row r="2" spans="1:7" ht="24" x14ac:dyDescent="0.35">
      <c r="A2" s="1"/>
      <c r="B2" s="2" t="s">
        <v>3</v>
      </c>
      <c r="C2" s="2" t="s">
        <v>4</v>
      </c>
      <c r="D2" s="2" t="s">
        <v>5</v>
      </c>
      <c r="E2" s="2" t="s">
        <v>6</v>
      </c>
      <c r="G2" s="10" t="s">
        <v>397</v>
      </c>
    </row>
    <row r="3" spans="1:7" ht="15.5" x14ac:dyDescent="0.35">
      <c r="A3" s="11" t="s">
        <v>355</v>
      </c>
      <c r="B3" s="10"/>
      <c r="C3" s="10"/>
      <c r="D3" s="10"/>
      <c r="E3" s="10"/>
    </row>
    <row r="4" spans="1:7" x14ac:dyDescent="0.35">
      <c r="A4" s="3" t="s">
        <v>23</v>
      </c>
      <c r="B4" s="4"/>
      <c r="C4" s="4"/>
      <c r="D4" s="5">
        <f t="shared" ref="D4:D8" si="0">(B4)-(C4)</f>
        <v>0</v>
      </c>
      <c r="E4" s="6" t="str">
        <f t="shared" ref="E4:E8" si="1">IF(C4=0,"",(B4)/(C4))</f>
        <v/>
      </c>
    </row>
    <row r="5" spans="1:7" x14ac:dyDescent="0.35">
      <c r="A5" s="3" t="s">
        <v>24</v>
      </c>
      <c r="B5" s="22">
        <f>14732</f>
        <v>14732</v>
      </c>
      <c r="C5" s="22">
        <f>13000</f>
        <v>13000</v>
      </c>
      <c r="D5" s="22">
        <f t="shared" si="0"/>
        <v>1732</v>
      </c>
      <c r="E5" s="23">
        <f t="shared" si="1"/>
        <v>1.1332307692307693</v>
      </c>
    </row>
    <row r="6" spans="1:7" x14ac:dyDescent="0.35">
      <c r="A6" s="3" t="s">
        <v>25</v>
      </c>
      <c r="B6" s="22">
        <f>220</f>
        <v>220</v>
      </c>
      <c r="C6" s="22">
        <f>750</f>
        <v>750</v>
      </c>
      <c r="D6" s="22">
        <f t="shared" si="0"/>
        <v>-530</v>
      </c>
      <c r="E6" s="23">
        <f t="shared" si="1"/>
        <v>0.29333333333333333</v>
      </c>
    </row>
    <row r="7" spans="1:7" x14ac:dyDescent="0.35">
      <c r="A7" s="3" t="s">
        <v>26</v>
      </c>
      <c r="B7" s="22">
        <f>13329.5</f>
        <v>13329.5</v>
      </c>
      <c r="C7" s="22">
        <f>16000</f>
        <v>16000</v>
      </c>
      <c r="D7" s="22">
        <f t="shared" si="0"/>
        <v>-2670.5</v>
      </c>
      <c r="E7" s="23">
        <f t="shared" si="1"/>
        <v>0.83309374999999997</v>
      </c>
    </row>
    <row r="8" spans="1:7" x14ac:dyDescent="0.35">
      <c r="A8" s="3" t="s">
        <v>27</v>
      </c>
      <c r="B8" s="24">
        <f>(((B4)+(B5))+(B6))+(B7)</f>
        <v>28281.5</v>
      </c>
      <c r="C8" s="24">
        <f>(((C4)+(C5))+(C6))+(C7)</f>
        <v>29750</v>
      </c>
      <c r="D8" s="24">
        <f t="shared" si="0"/>
        <v>-1468.5</v>
      </c>
      <c r="E8" s="25">
        <f t="shared" si="1"/>
        <v>0.95063865546218485</v>
      </c>
    </row>
    <row r="9" spans="1:7" ht="15.5" x14ac:dyDescent="0.35">
      <c r="A9" s="9" t="s">
        <v>356</v>
      </c>
    </row>
    <row r="10" spans="1:7" x14ac:dyDescent="0.35">
      <c r="A10" s="20" t="s">
        <v>129</v>
      </c>
      <c r="B10" s="21"/>
      <c r="C10" s="21"/>
      <c r="D10" s="22">
        <f t="shared" ref="D10:D20" si="2">(B10)-(C10)</f>
        <v>0</v>
      </c>
      <c r="E10" s="23" t="str">
        <f t="shared" ref="E10:E20" si="3">IF(C10=0,"",(B10)/(C10))</f>
        <v/>
      </c>
    </row>
    <row r="11" spans="1:7" x14ac:dyDescent="0.35">
      <c r="A11" s="20" t="s">
        <v>130</v>
      </c>
      <c r="B11" s="22">
        <f>915</f>
        <v>915</v>
      </c>
      <c r="C11" s="22">
        <f>1000</f>
        <v>1000</v>
      </c>
      <c r="D11" s="22">
        <f t="shared" si="2"/>
        <v>-85</v>
      </c>
      <c r="E11" s="23">
        <f t="shared" si="3"/>
        <v>0.91500000000000004</v>
      </c>
    </row>
    <row r="12" spans="1:7" x14ac:dyDescent="0.35">
      <c r="A12" s="20" t="s">
        <v>131</v>
      </c>
      <c r="B12" s="22">
        <f>1167.33</f>
        <v>1167.33</v>
      </c>
      <c r="C12" s="22">
        <f>1500</f>
        <v>1500</v>
      </c>
      <c r="D12" s="22">
        <f t="shared" si="2"/>
        <v>-332.67000000000007</v>
      </c>
      <c r="E12" s="23">
        <f t="shared" si="3"/>
        <v>0.77821999999999991</v>
      </c>
    </row>
    <row r="13" spans="1:7" x14ac:dyDescent="0.35">
      <c r="A13" s="20" t="s">
        <v>132</v>
      </c>
      <c r="B13" s="22">
        <f>1128</f>
        <v>1128</v>
      </c>
      <c r="C13" s="22">
        <f>1800</f>
        <v>1800</v>
      </c>
      <c r="D13" s="22">
        <f t="shared" si="2"/>
        <v>-672</v>
      </c>
      <c r="E13" s="23">
        <f t="shared" si="3"/>
        <v>0.62666666666666671</v>
      </c>
    </row>
    <row r="14" spans="1:7" x14ac:dyDescent="0.35">
      <c r="A14" s="20" t="s">
        <v>133</v>
      </c>
      <c r="B14" s="22">
        <f>3500</f>
        <v>3500</v>
      </c>
      <c r="C14" s="22">
        <f>3500</f>
        <v>3500</v>
      </c>
      <c r="D14" s="22">
        <f t="shared" si="2"/>
        <v>0</v>
      </c>
      <c r="E14" s="23">
        <f t="shared" si="3"/>
        <v>1</v>
      </c>
    </row>
    <row r="15" spans="1:7" x14ac:dyDescent="0.35">
      <c r="A15" s="20" t="s">
        <v>134</v>
      </c>
      <c r="B15" s="22">
        <f>3000</f>
        <v>3000</v>
      </c>
      <c r="C15" s="22">
        <f>3800</f>
        <v>3800</v>
      </c>
      <c r="D15" s="22">
        <f t="shared" si="2"/>
        <v>-800</v>
      </c>
      <c r="E15" s="23">
        <f t="shared" si="3"/>
        <v>0.78947368421052633</v>
      </c>
    </row>
    <row r="16" spans="1:7" x14ac:dyDescent="0.35">
      <c r="A16" s="20" t="s">
        <v>135</v>
      </c>
      <c r="B16" s="22">
        <f>560</f>
        <v>560</v>
      </c>
      <c r="C16" s="22">
        <f>500</f>
        <v>500</v>
      </c>
      <c r="D16" s="22">
        <f t="shared" si="2"/>
        <v>60</v>
      </c>
      <c r="E16" s="23">
        <f t="shared" si="3"/>
        <v>1.1200000000000001</v>
      </c>
    </row>
    <row r="17" spans="1:5" x14ac:dyDescent="0.35">
      <c r="A17" s="20" t="s">
        <v>136</v>
      </c>
      <c r="B17" s="22">
        <f>681.36</f>
        <v>681.36</v>
      </c>
      <c r="C17" s="22">
        <f>500</f>
        <v>500</v>
      </c>
      <c r="D17" s="22">
        <f t="shared" si="2"/>
        <v>181.36</v>
      </c>
      <c r="E17" s="23">
        <f t="shared" si="3"/>
        <v>1.3627199999999999</v>
      </c>
    </row>
    <row r="18" spans="1:5" x14ac:dyDescent="0.35">
      <c r="A18" s="20" t="s">
        <v>137</v>
      </c>
      <c r="B18" s="22">
        <f>520</f>
        <v>520</v>
      </c>
      <c r="C18" s="22">
        <f>1200</f>
        <v>1200</v>
      </c>
      <c r="D18" s="22">
        <f t="shared" si="2"/>
        <v>-680</v>
      </c>
      <c r="E18" s="23">
        <f t="shared" si="3"/>
        <v>0.43333333333333335</v>
      </c>
    </row>
    <row r="19" spans="1:5" x14ac:dyDescent="0.35">
      <c r="A19" s="20" t="s">
        <v>138</v>
      </c>
      <c r="B19" s="22">
        <f>2400</f>
        <v>2400</v>
      </c>
      <c r="C19" s="22">
        <f>3200</f>
        <v>3200</v>
      </c>
      <c r="D19" s="22">
        <f t="shared" si="2"/>
        <v>-800</v>
      </c>
      <c r="E19" s="23">
        <f t="shared" si="3"/>
        <v>0.75</v>
      </c>
    </row>
    <row r="20" spans="1:5" x14ac:dyDescent="0.35">
      <c r="A20" s="20" t="s">
        <v>139</v>
      </c>
      <c r="B20" s="24">
        <f>(((((((((B10)+(B11))+(B12))+(B13))+(B14))+(B15))+(B16))+(B17))+(B18))+(B19)</f>
        <v>13871.69</v>
      </c>
      <c r="C20" s="24">
        <f>(((((((((C10)+(C11))+(C12))+(C13))+(C14))+(C15))+(C16))+(C17))+(C18))+(C19)</f>
        <v>17000</v>
      </c>
      <c r="D20" s="24">
        <f t="shared" si="2"/>
        <v>-3128.3099999999995</v>
      </c>
      <c r="E20" s="25">
        <f t="shared" si="3"/>
        <v>0.81598176470588235</v>
      </c>
    </row>
    <row r="21" spans="1:5" x14ac:dyDescent="0.35">
      <c r="A21" s="3"/>
      <c r="B21" s="7"/>
      <c r="C21" s="7"/>
      <c r="D21" s="7"/>
      <c r="E21" s="8"/>
    </row>
    <row r="23" spans="1:5" x14ac:dyDescent="0.35">
      <c r="A23" s="3" t="s">
        <v>357</v>
      </c>
      <c r="B23" s="12">
        <f>B8-B20</f>
        <v>14409.81</v>
      </c>
      <c r="C23" s="12">
        <f>C8-C20</f>
        <v>12750</v>
      </c>
      <c r="D23" s="12">
        <f>D8-D20</f>
        <v>1659.8099999999995</v>
      </c>
      <c r="E23" s="18"/>
    </row>
  </sheetData>
  <mergeCells count="1">
    <mergeCell ref="B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25865-2AF3-40F0-84FC-F96B0869EBCA}">
  <dimension ref="A1:F23"/>
  <sheetViews>
    <sheetView workbookViewId="0"/>
  </sheetViews>
  <sheetFormatPr defaultRowHeight="14.5" x14ac:dyDescent="0.35"/>
  <cols>
    <col min="1" max="1" width="51.81640625" customWidth="1"/>
    <col min="2" max="4" width="11.26953125" bestFit="1" customWidth="1"/>
    <col min="6" max="6" width="18.7265625" customWidth="1"/>
  </cols>
  <sheetData>
    <row r="1" spans="1:6" x14ac:dyDescent="0.35">
      <c r="A1" s="1"/>
      <c r="B1" s="48" t="s">
        <v>2</v>
      </c>
      <c r="C1" s="44"/>
      <c r="D1" s="44"/>
      <c r="E1" s="44"/>
    </row>
    <row r="2" spans="1:6" ht="24" x14ac:dyDescent="0.35">
      <c r="A2" s="1"/>
      <c r="B2" s="2" t="s">
        <v>3</v>
      </c>
      <c r="C2" s="2" t="s">
        <v>4</v>
      </c>
      <c r="D2" s="2" t="s">
        <v>5</v>
      </c>
      <c r="E2" s="2" t="s">
        <v>6</v>
      </c>
      <c r="F2" s="10" t="s">
        <v>398</v>
      </c>
    </row>
    <row r="3" spans="1:6" ht="15.5" x14ac:dyDescent="0.35">
      <c r="A3" s="14" t="s">
        <v>355</v>
      </c>
      <c r="B3" s="10"/>
      <c r="C3" s="10"/>
      <c r="D3" s="10"/>
      <c r="E3" s="10"/>
    </row>
    <row r="4" spans="1:6" ht="18.75" customHeight="1" x14ac:dyDescent="0.35">
      <c r="A4" s="3" t="s">
        <v>36</v>
      </c>
      <c r="B4" s="4"/>
      <c r="C4" s="4"/>
      <c r="D4" s="5">
        <f t="shared" ref="D4:D8" si="0">(B4)-(C4)</f>
        <v>0</v>
      </c>
      <c r="E4" s="6" t="str">
        <f t="shared" ref="E4:E8" si="1">IF(C4=0,"",(B4)/(C4))</f>
        <v/>
      </c>
    </row>
    <row r="5" spans="1:6" x14ac:dyDescent="0.35">
      <c r="A5" s="20" t="s">
        <v>37</v>
      </c>
      <c r="B5" s="22">
        <f>9904</f>
        <v>9904</v>
      </c>
      <c r="C5" s="22">
        <f>8500</f>
        <v>8500</v>
      </c>
      <c r="D5" s="22">
        <f t="shared" si="0"/>
        <v>1404</v>
      </c>
      <c r="E5" s="23">
        <f t="shared" si="1"/>
        <v>1.1651764705882353</v>
      </c>
    </row>
    <row r="6" spans="1:6" x14ac:dyDescent="0.35">
      <c r="A6" s="20" t="s">
        <v>38</v>
      </c>
      <c r="B6" s="22">
        <f>440</f>
        <v>440</v>
      </c>
      <c r="C6" s="22">
        <f>750</f>
        <v>750</v>
      </c>
      <c r="D6" s="22">
        <f t="shared" si="0"/>
        <v>-310</v>
      </c>
      <c r="E6" s="23">
        <f t="shared" si="1"/>
        <v>0.58666666666666667</v>
      </c>
    </row>
    <row r="7" spans="1:6" x14ac:dyDescent="0.35">
      <c r="A7" s="20" t="s">
        <v>39</v>
      </c>
      <c r="B7" s="22">
        <f>6950.08</f>
        <v>6950.08</v>
      </c>
      <c r="C7" s="22">
        <f>7000</f>
        <v>7000</v>
      </c>
      <c r="D7" s="22">
        <f t="shared" si="0"/>
        <v>-49.920000000000073</v>
      </c>
      <c r="E7" s="23">
        <f t="shared" si="1"/>
        <v>0.99286857142857143</v>
      </c>
    </row>
    <row r="8" spans="1:6" x14ac:dyDescent="0.35">
      <c r="A8" s="20" t="s">
        <v>40</v>
      </c>
      <c r="B8" s="24">
        <f>(((B4)+(B5))+(B6))+(B7)</f>
        <v>17294.080000000002</v>
      </c>
      <c r="C8" s="24">
        <f>(((C4)+(C5))+(C6))+(C7)</f>
        <v>16250</v>
      </c>
      <c r="D8" s="24">
        <f t="shared" si="0"/>
        <v>1044.0800000000017</v>
      </c>
      <c r="E8" s="25">
        <f t="shared" si="1"/>
        <v>1.0642510769230771</v>
      </c>
    </row>
    <row r="9" spans="1:6" ht="15.5" x14ac:dyDescent="0.35">
      <c r="A9" s="13" t="s">
        <v>356</v>
      </c>
    </row>
    <row r="10" spans="1:6" x14ac:dyDescent="0.35">
      <c r="A10" s="20" t="s">
        <v>163</v>
      </c>
      <c r="B10" s="21"/>
      <c r="C10" s="21"/>
      <c r="D10" s="22">
        <f t="shared" ref="D10:D20" si="2">(B10)-(C10)</f>
        <v>0</v>
      </c>
      <c r="E10" s="23" t="str">
        <f t="shared" ref="E10:E20" si="3">IF(C10=0,"",(B10)/(C10))</f>
        <v/>
      </c>
    </row>
    <row r="11" spans="1:6" x14ac:dyDescent="0.35">
      <c r="A11" s="20" t="s">
        <v>164</v>
      </c>
      <c r="B11" s="22">
        <f>973.33</f>
        <v>973.33</v>
      </c>
      <c r="C11" s="22">
        <f>500</f>
        <v>500</v>
      </c>
      <c r="D11" s="22">
        <f t="shared" si="2"/>
        <v>473.33000000000004</v>
      </c>
      <c r="E11" s="23">
        <f t="shared" si="3"/>
        <v>1.9466600000000001</v>
      </c>
    </row>
    <row r="12" spans="1:6" x14ac:dyDescent="0.35">
      <c r="A12" s="20" t="s">
        <v>165</v>
      </c>
      <c r="B12" s="22">
        <f>752.75</f>
        <v>752.75</v>
      </c>
      <c r="C12" s="22">
        <f>1000</f>
        <v>1000</v>
      </c>
      <c r="D12" s="22">
        <f t="shared" si="2"/>
        <v>-247.25</v>
      </c>
      <c r="E12" s="23">
        <f t="shared" si="3"/>
        <v>0.75275000000000003</v>
      </c>
    </row>
    <row r="13" spans="1:6" x14ac:dyDescent="0.35">
      <c r="A13" s="20" t="s">
        <v>166</v>
      </c>
      <c r="B13" s="22">
        <f>564</f>
        <v>564</v>
      </c>
      <c r="C13" s="22">
        <f>800</f>
        <v>800</v>
      </c>
      <c r="D13" s="22">
        <f t="shared" si="2"/>
        <v>-236</v>
      </c>
      <c r="E13" s="23">
        <f t="shared" si="3"/>
        <v>0.70499999999999996</v>
      </c>
    </row>
    <row r="14" spans="1:6" x14ac:dyDescent="0.35">
      <c r="A14" s="20" t="s">
        <v>167</v>
      </c>
      <c r="B14" s="22">
        <f>2000</f>
        <v>2000</v>
      </c>
      <c r="C14" s="22">
        <f>2700</f>
        <v>2700</v>
      </c>
      <c r="D14" s="22">
        <f t="shared" si="2"/>
        <v>-700</v>
      </c>
      <c r="E14" s="23">
        <f t="shared" si="3"/>
        <v>0.7407407407407407</v>
      </c>
    </row>
    <row r="15" spans="1:6" x14ac:dyDescent="0.35">
      <c r="A15" s="20" t="s">
        <v>168</v>
      </c>
      <c r="B15" s="22">
        <f>3250</f>
        <v>3250</v>
      </c>
      <c r="C15" s="22">
        <f>2500</f>
        <v>2500</v>
      </c>
      <c r="D15" s="22">
        <f t="shared" si="2"/>
        <v>750</v>
      </c>
      <c r="E15" s="23">
        <f t="shared" si="3"/>
        <v>1.3</v>
      </c>
    </row>
    <row r="16" spans="1:6" x14ac:dyDescent="0.35">
      <c r="A16" s="20" t="s">
        <v>169</v>
      </c>
      <c r="B16" s="22">
        <f>320</f>
        <v>320</v>
      </c>
      <c r="C16" s="22">
        <f>400</f>
        <v>400</v>
      </c>
      <c r="D16" s="22">
        <f t="shared" si="2"/>
        <v>-80</v>
      </c>
      <c r="E16" s="23">
        <f t="shared" si="3"/>
        <v>0.8</v>
      </c>
    </row>
    <row r="17" spans="1:5" x14ac:dyDescent="0.35">
      <c r="A17" s="20" t="s">
        <v>170</v>
      </c>
      <c r="B17" s="22">
        <f>411.98</f>
        <v>411.98</v>
      </c>
      <c r="C17" s="22">
        <f>800</f>
        <v>800</v>
      </c>
      <c r="D17" s="22">
        <f t="shared" si="2"/>
        <v>-388.02</v>
      </c>
      <c r="E17" s="23">
        <f t="shared" si="3"/>
        <v>0.51497500000000007</v>
      </c>
    </row>
    <row r="18" spans="1:5" x14ac:dyDescent="0.35">
      <c r="A18" s="20" t="s">
        <v>171</v>
      </c>
      <c r="B18" s="22">
        <f>415</f>
        <v>415</v>
      </c>
      <c r="C18" s="22">
        <f>600</f>
        <v>600</v>
      </c>
      <c r="D18" s="22">
        <f t="shared" si="2"/>
        <v>-185</v>
      </c>
      <c r="E18" s="23">
        <f t="shared" si="3"/>
        <v>0.69166666666666665</v>
      </c>
    </row>
    <row r="19" spans="1:5" x14ac:dyDescent="0.35">
      <c r="A19" s="20" t="s">
        <v>172</v>
      </c>
      <c r="B19" s="22">
        <f>1600</f>
        <v>1600</v>
      </c>
      <c r="C19" s="22">
        <f>2000</f>
        <v>2000</v>
      </c>
      <c r="D19" s="22">
        <f t="shared" si="2"/>
        <v>-400</v>
      </c>
      <c r="E19" s="23">
        <f t="shared" si="3"/>
        <v>0.8</v>
      </c>
    </row>
    <row r="20" spans="1:5" x14ac:dyDescent="0.35">
      <c r="A20" s="20" t="s">
        <v>173</v>
      </c>
      <c r="B20" s="24">
        <f>(((((((((B10)+(B11))+(B12))+(B13))+(B14))+(B15))+(B16))+(B17))+(B18))+(B19)</f>
        <v>10287.06</v>
      </c>
      <c r="C20" s="24">
        <f>(((((((((C10)+(C11))+(C12))+(C13))+(C14))+(C15))+(C16))+(C17))+(C18))+(C19)</f>
        <v>11300</v>
      </c>
      <c r="D20" s="24">
        <f t="shared" si="2"/>
        <v>-1012.9400000000005</v>
      </c>
      <c r="E20" s="25">
        <f t="shared" si="3"/>
        <v>0.91035929203539823</v>
      </c>
    </row>
    <row r="21" spans="1:5" x14ac:dyDescent="0.35">
      <c r="A21" s="3"/>
      <c r="B21" s="7"/>
      <c r="C21" s="7"/>
      <c r="D21" s="7"/>
      <c r="E21" s="8"/>
    </row>
    <row r="23" spans="1:5" x14ac:dyDescent="0.35">
      <c r="A23" s="3" t="s">
        <v>357</v>
      </c>
      <c r="B23" s="12">
        <f>B8-B20</f>
        <v>7007.0200000000023</v>
      </c>
      <c r="C23" s="12">
        <f>C8-C20</f>
        <v>4950</v>
      </c>
      <c r="D23" s="12">
        <f>D8-D20</f>
        <v>2057.0200000000023</v>
      </c>
      <c r="E23" s="18"/>
    </row>
  </sheetData>
  <mergeCells count="1">
    <mergeCell ref="B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D0D5-8C75-4219-8370-441F882FEC97}">
  <dimension ref="A1:E23"/>
  <sheetViews>
    <sheetView workbookViewId="0"/>
  </sheetViews>
  <sheetFormatPr defaultRowHeight="14.5" x14ac:dyDescent="0.35"/>
  <cols>
    <col min="1" max="1" width="38" customWidth="1"/>
    <col min="2" max="2" width="12.26953125" bestFit="1" customWidth="1"/>
    <col min="3" max="3" width="12.08984375" bestFit="1" customWidth="1"/>
    <col min="4" max="4" width="12.26953125" bestFit="1" customWidth="1"/>
  </cols>
  <sheetData>
    <row r="1" spans="1:5" x14ac:dyDescent="0.35">
      <c r="A1" s="1"/>
      <c r="B1" s="48" t="s">
        <v>2</v>
      </c>
      <c r="C1" s="44"/>
      <c r="D1" s="44"/>
      <c r="E1" s="44"/>
    </row>
    <row r="2" spans="1:5" ht="24" x14ac:dyDescent="0.35">
      <c r="A2" s="1"/>
      <c r="B2" s="2" t="s">
        <v>3</v>
      </c>
      <c r="C2" s="2" t="s">
        <v>4</v>
      </c>
      <c r="D2" s="2" t="s">
        <v>5</v>
      </c>
      <c r="E2" s="2" t="s">
        <v>6</v>
      </c>
    </row>
    <row r="3" spans="1:5" ht="15.5" x14ac:dyDescent="0.35">
      <c r="A3" s="14" t="s">
        <v>355</v>
      </c>
      <c r="B3" s="10"/>
      <c r="C3" s="10"/>
      <c r="D3" s="10"/>
      <c r="E3" s="10"/>
    </row>
    <row r="4" spans="1:5" x14ac:dyDescent="0.35">
      <c r="A4" s="20" t="s">
        <v>399</v>
      </c>
      <c r="B4" s="21"/>
      <c r="C4" s="21"/>
      <c r="D4" s="22">
        <f t="shared" ref="D4:D8" si="0">(B4)-(C4)</f>
        <v>0</v>
      </c>
      <c r="E4" s="23" t="str">
        <f t="shared" ref="E4:E8" si="1">IF(C4=0,"",(B4)/(C4))</f>
        <v/>
      </c>
    </row>
    <row r="5" spans="1:5" x14ac:dyDescent="0.35">
      <c r="A5" s="20" t="s">
        <v>33</v>
      </c>
      <c r="B5" s="22">
        <f>86466</f>
        <v>86466</v>
      </c>
      <c r="C5" s="22">
        <f>70000</f>
        <v>70000</v>
      </c>
      <c r="D5" s="22">
        <f t="shared" si="0"/>
        <v>16466</v>
      </c>
      <c r="E5" s="23">
        <f t="shared" si="1"/>
        <v>1.2352285714285713</v>
      </c>
    </row>
    <row r="6" spans="1:5" x14ac:dyDescent="0.35">
      <c r="A6" s="20" t="s">
        <v>34</v>
      </c>
      <c r="B6" s="22">
        <f>137137.6</f>
        <v>137137.60000000001</v>
      </c>
      <c r="C6" s="22">
        <f>118000</f>
        <v>118000</v>
      </c>
      <c r="D6" s="22">
        <f t="shared" si="0"/>
        <v>19137.600000000006</v>
      </c>
      <c r="E6" s="23">
        <f t="shared" si="1"/>
        <v>1.1621830508474578</v>
      </c>
    </row>
    <row r="7" spans="1:5" x14ac:dyDescent="0.35">
      <c r="A7" s="20" t="s">
        <v>35</v>
      </c>
      <c r="B7" s="22">
        <f>3575</f>
        <v>3575</v>
      </c>
      <c r="C7" s="22">
        <f>4000</f>
        <v>4000</v>
      </c>
      <c r="D7" s="22">
        <f t="shared" si="0"/>
        <v>-425</v>
      </c>
      <c r="E7" s="23">
        <f t="shared" si="1"/>
        <v>0.89375000000000004</v>
      </c>
    </row>
    <row r="8" spans="1:5" x14ac:dyDescent="0.35">
      <c r="A8" s="20" t="s">
        <v>400</v>
      </c>
      <c r="B8" s="24">
        <f>(((B4)+(B5))+(B6))+(B7)</f>
        <v>227178.6</v>
      </c>
      <c r="C8" s="24">
        <f>(((C4)+(C5))+(C6))+(C7)</f>
        <v>192000</v>
      </c>
      <c r="D8" s="24">
        <f t="shared" si="0"/>
        <v>35178.600000000006</v>
      </c>
      <c r="E8" s="25">
        <f t="shared" si="1"/>
        <v>1.1832218750000001</v>
      </c>
    </row>
    <row r="9" spans="1:5" ht="15.5" x14ac:dyDescent="0.35">
      <c r="A9" s="13" t="s">
        <v>356</v>
      </c>
    </row>
    <row r="10" spans="1:5" x14ac:dyDescent="0.35">
      <c r="A10" s="20" t="s">
        <v>140</v>
      </c>
      <c r="B10" s="21"/>
      <c r="C10" s="21"/>
      <c r="D10" s="22">
        <f t="shared" ref="D10:D21" si="2">(B10)-(C10)</f>
        <v>0</v>
      </c>
      <c r="E10" s="23" t="str">
        <f t="shared" ref="E10:E21" si="3">IF(C10=0,"",(B10)/(C10))</f>
        <v/>
      </c>
    </row>
    <row r="11" spans="1:5" x14ac:dyDescent="0.35">
      <c r="A11" s="20" t="s">
        <v>141</v>
      </c>
      <c r="B11" s="22">
        <f>5928</f>
        <v>5928</v>
      </c>
      <c r="C11" s="22">
        <f>7500</f>
        <v>7500</v>
      </c>
      <c r="D11" s="22">
        <f t="shared" si="2"/>
        <v>-1572</v>
      </c>
      <c r="E11" s="23">
        <f t="shared" si="3"/>
        <v>0.79039999999999999</v>
      </c>
    </row>
    <row r="12" spans="1:5" x14ac:dyDescent="0.35">
      <c r="A12" s="20" t="s">
        <v>142</v>
      </c>
      <c r="B12" s="22">
        <f>8192</f>
        <v>8192</v>
      </c>
      <c r="C12" s="21"/>
      <c r="D12" s="22">
        <f t="shared" si="2"/>
        <v>8192</v>
      </c>
      <c r="E12" s="23" t="str">
        <f t="shared" si="3"/>
        <v/>
      </c>
    </row>
    <row r="13" spans="1:5" x14ac:dyDescent="0.35">
      <c r="A13" s="20" t="s">
        <v>143</v>
      </c>
      <c r="B13" s="22">
        <f>4788.48</f>
        <v>4788.4799999999996</v>
      </c>
      <c r="C13" s="22">
        <f>5500</f>
        <v>5500</v>
      </c>
      <c r="D13" s="22">
        <f t="shared" si="2"/>
        <v>-711.52000000000044</v>
      </c>
      <c r="E13" s="23">
        <f t="shared" si="3"/>
        <v>0.87063272727272722</v>
      </c>
    </row>
    <row r="14" spans="1:5" x14ac:dyDescent="0.35">
      <c r="A14" s="20" t="s">
        <v>144</v>
      </c>
      <c r="B14" s="22">
        <f>10641.92</f>
        <v>10641.92</v>
      </c>
      <c r="C14" s="22">
        <f>9000</f>
        <v>9000</v>
      </c>
      <c r="D14" s="22">
        <f t="shared" si="2"/>
        <v>1641.92</v>
      </c>
      <c r="E14" s="23">
        <f t="shared" si="3"/>
        <v>1.1824355555555555</v>
      </c>
    </row>
    <row r="15" spans="1:5" x14ac:dyDescent="0.35">
      <c r="A15" s="20" t="s">
        <v>145</v>
      </c>
      <c r="B15" s="22">
        <f>20945.73</f>
        <v>20945.73</v>
      </c>
      <c r="C15" s="22">
        <f>22000</f>
        <v>22000</v>
      </c>
      <c r="D15" s="22">
        <f t="shared" si="2"/>
        <v>-1054.2700000000004</v>
      </c>
      <c r="E15" s="23">
        <f t="shared" si="3"/>
        <v>0.95207863636363632</v>
      </c>
    </row>
    <row r="16" spans="1:5" x14ac:dyDescent="0.35">
      <c r="A16" s="20" t="s">
        <v>146</v>
      </c>
      <c r="B16" s="22">
        <f>12500</f>
        <v>12500</v>
      </c>
      <c r="C16" s="22">
        <f>14000</f>
        <v>14000</v>
      </c>
      <c r="D16" s="22">
        <f t="shared" si="2"/>
        <v>-1500</v>
      </c>
      <c r="E16" s="23">
        <f t="shared" si="3"/>
        <v>0.8928571428571429</v>
      </c>
    </row>
    <row r="17" spans="1:5" x14ac:dyDescent="0.35">
      <c r="A17" s="20" t="s">
        <v>147</v>
      </c>
      <c r="B17" s="22">
        <f>2280</f>
        <v>2280</v>
      </c>
      <c r="C17" s="22">
        <f>2500</f>
        <v>2500</v>
      </c>
      <c r="D17" s="22">
        <f t="shared" si="2"/>
        <v>-220</v>
      </c>
      <c r="E17" s="23">
        <f t="shared" si="3"/>
        <v>0.91200000000000003</v>
      </c>
    </row>
    <row r="18" spans="1:5" x14ac:dyDescent="0.35">
      <c r="A18" s="20" t="s">
        <v>148</v>
      </c>
      <c r="B18" s="22">
        <f>10874.67</f>
        <v>10874.67</v>
      </c>
      <c r="C18" s="22">
        <f>8500</f>
        <v>8500</v>
      </c>
      <c r="D18" s="22">
        <f t="shared" si="2"/>
        <v>2374.67</v>
      </c>
      <c r="E18" s="23">
        <f t="shared" si="3"/>
        <v>1.2793729411764705</v>
      </c>
    </row>
    <row r="19" spans="1:5" x14ac:dyDescent="0.35">
      <c r="A19" s="20" t="s">
        <v>149</v>
      </c>
      <c r="B19" s="22">
        <f>4050</f>
        <v>4050</v>
      </c>
      <c r="C19" s="22">
        <f>4000</f>
        <v>4000</v>
      </c>
      <c r="D19" s="22">
        <f t="shared" si="2"/>
        <v>50</v>
      </c>
      <c r="E19" s="23">
        <f t="shared" si="3"/>
        <v>1.0125</v>
      </c>
    </row>
    <row r="20" spans="1:5" x14ac:dyDescent="0.35">
      <c r="A20" s="20" t="s">
        <v>150</v>
      </c>
      <c r="B20" s="22">
        <f>13560</f>
        <v>13560</v>
      </c>
      <c r="C20" s="22">
        <f>12000</f>
        <v>12000</v>
      </c>
      <c r="D20" s="22">
        <f t="shared" si="2"/>
        <v>1560</v>
      </c>
      <c r="E20" s="23">
        <f t="shared" si="3"/>
        <v>1.1299999999999999</v>
      </c>
    </row>
    <row r="21" spans="1:5" x14ac:dyDescent="0.35">
      <c r="A21" s="20" t="s">
        <v>151</v>
      </c>
      <c r="B21" s="24">
        <f>((((((((((B10)+(B11))+(B12))+(B13))+(B14))+(B15))+(B16))+(B17))+(B18))+(B19))+(B20)</f>
        <v>93760.8</v>
      </c>
      <c r="C21" s="24">
        <f>((((((((((C10)+(C11))+(C12))+(C13))+(C14))+(C15))+(C16))+(C17))+(C18))+(C19))+(C20)</f>
        <v>85000</v>
      </c>
      <c r="D21" s="24">
        <f t="shared" si="2"/>
        <v>8760.8000000000029</v>
      </c>
      <c r="E21" s="25">
        <f t="shared" si="3"/>
        <v>1.1030682352941177</v>
      </c>
    </row>
    <row r="23" spans="1:5" x14ac:dyDescent="0.35">
      <c r="A23" s="3" t="s">
        <v>357</v>
      </c>
      <c r="B23" s="12">
        <f>B8-B21</f>
        <v>133417.79999999999</v>
      </c>
      <c r="C23" s="12">
        <f t="shared" ref="C23:E23" si="4">C8-C21</f>
        <v>107000</v>
      </c>
      <c r="D23" s="12">
        <f t="shared" si="4"/>
        <v>26417.800000000003</v>
      </c>
      <c r="E23" s="12"/>
    </row>
  </sheetData>
  <mergeCells count="1">
    <mergeCell ref="B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97095-3A4B-467D-8B97-D53CAADF83F3}">
  <dimension ref="A1:E22"/>
  <sheetViews>
    <sheetView workbookViewId="0"/>
  </sheetViews>
  <sheetFormatPr defaultRowHeight="14.5" x14ac:dyDescent="0.35"/>
  <cols>
    <col min="1" max="1" width="45.81640625" customWidth="1"/>
    <col min="2" max="2" width="11.54296875" bestFit="1" customWidth="1"/>
    <col min="3" max="3" width="11.26953125" bestFit="1" customWidth="1"/>
    <col min="4" max="4" width="11.54296875" bestFit="1" customWidth="1"/>
  </cols>
  <sheetData>
    <row r="1" spans="1:5" x14ac:dyDescent="0.35">
      <c r="A1" s="1"/>
      <c r="B1" s="48" t="s">
        <v>2</v>
      </c>
      <c r="C1" s="44"/>
      <c r="D1" s="44"/>
      <c r="E1" s="44"/>
    </row>
    <row r="2" spans="1:5" ht="24" x14ac:dyDescent="0.35">
      <c r="A2" s="1"/>
      <c r="B2" s="2" t="s">
        <v>3</v>
      </c>
      <c r="C2" s="2" t="s">
        <v>4</v>
      </c>
      <c r="D2" s="2" t="s">
        <v>5</v>
      </c>
      <c r="E2" s="2" t="s">
        <v>6</v>
      </c>
    </row>
    <row r="3" spans="1:5" ht="15.5" x14ac:dyDescent="0.35">
      <c r="A3" s="14" t="s">
        <v>355</v>
      </c>
      <c r="B3" s="10"/>
      <c r="C3" s="10"/>
      <c r="D3" s="10"/>
      <c r="E3" s="10"/>
    </row>
    <row r="4" spans="1:5" x14ac:dyDescent="0.35">
      <c r="A4" s="20" t="s">
        <v>28</v>
      </c>
      <c r="B4" s="21"/>
      <c r="C4" s="21"/>
      <c r="D4" s="22">
        <f t="shared" ref="D4:D8" si="0">(B4)-(C4)</f>
        <v>0</v>
      </c>
      <c r="E4" s="23" t="str">
        <f t="shared" ref="E4:E8" si="1">IF(C4=0,"",(B4)/(C4))</f>
        <v/>
      </c>
    </row>
    <row r="5" spans="1:5" x14ac:dyDescent="0.35">
      <c r="A5" s="20" t="s">
        <v>29</v>
      </c>
      <c r="B5" s="22">
        <f>30094</f>
        <v>30094</v>
      </c>
      <c r="C5" s="22">
        <f>26000</f>
        <v>26000</v>
      </c>
      <c r="D5" s="22">
        <f t="shared" si="0"/>
        <v>4094</v>
      </c>
      <c r="E5" s="23">
        <f t="shared" si="1"/>
        <v>1.1574615384615385</v>
      </c>
    </row>
    <row r="6" spans="1:5" x14ac:dyDescent="0.35">
      <c r="A6" s="20" t="s">
        <v>30</v>
      </c>
      <c r="B6" s="22">
        <f>76912.85</f>
        <v>76912.850000000006</v>
      </c>
      <c r="C6" s="22">
        <f>68000</f>
        <v>68000</v>
      </c>
      <c r="D6" s="22">
        <f t="shared" si="0"/>
        <v>8912.8500000000058</v>
      </c>
      <c r="E6" s="23">
        <f t="shared" si="1"/>
        <v>1.1310713235294119</v>
      </c>
    </row>
    <row r="7" spans="1:5" x14ac:dyDescent="0.35">
      <c r="A7" s="20" t="s">
        <v>31</v>
      </c>
      <c r="B7" s="22">
        <f>643.65</f>
        <v>643.65</v>
      </c>
      <c r="C7" s="22">
        <f>900</f>
        <v>900</v>
      </c>
      <c r="D7" s="22">
        <f t="shared" si="0"/>
        <v>-256.35000000000002</v>
      </c>
      <c r="E7" s="23">
        <f t="shared" si="1"/>
        <v>0.71516666666666662</v>
      </c>
    </row>
    <row r="8" spans="1:5" x14ac:dyDescent="0.35">
      <c r="A8" s="20" t="s">
        <v>32</v>
      </c>
      <c r="B8" s="24">
        <f>(((B4)+(B5))+(B6))+(B7)</f>
        <v>107650.5</v>
      </c>
      <c r="C8" s="24">
        <f>(((C4)+(C5))+(C6))+(C7)</f>
        <v>94900</v>
      </c>
      <c r="D8" s="24">
        <f t="shared" si="0"/>
        <v>12750.5</v>
      </c>
      <c r="E8" s="25">
        <f t="shared" si="1"/>
        <v>1.1343572181243413</v>
      </c>
    </row>
    <row r="9" spans="1:5" ht="15.5" x14ac:dyDescent="0.35">
      <c r="A9" s="13" t="s">
        <v>356</v>
      </c>
    </row>
    <row r="10" spans="1:5" x14ac:dyDescent="0.35">
      <c r="A10" s="20" t="s">
        <v>152</v>
      </c>
      <c r="B10" s="21"/>
      <c r="C10" s="21"/>
      <c r="D10" s="22">
        <f t="shared" ref="D10:D20" si="2">(B10)-(C10)</f>
        <v>0</v>
      </c>
      <c r="E10" s="23" t="str">
        <f t="shared" ref="E10:E20" si="3">IF(C10=0,"",(B10)/(C10))</f>
        <v/>
      </c>
    </row>
    <row r="11" spans="1:5" x14ac:dyDescent="0.35">
      <c r="A11" s="20" t="s">
        <v>153</v>
      </c>
      <c r="B11" s="22">
        <f>9035.15</f>
        <v>9035.15</v>
      </c>
      <c r="C11" s="22">
        <f>16000</f>
        <v>16000</v>
      </c>
      <c r="D11" s="22">
        <f t="shared" si="2"/>
        <v>-6964.85</v>
      </c>
      <c r="E11" s="23">
        <f t="shared" si="3"/>
        <v>0.56469687499999999</v>
      </c>
    </row>
    <row r="12" spans="1:5" x14ac:dyDescent="0.35">
      <c r="A12" s="20" t="s">
        <v>154</v>
      </c>
      <c r="B12" s="22">
        <f>4220.51</f>
        <v>4220.51</v>
      </c>
      <c r="C12" s="22">
        <f>4000</f>
        <v>4000</v>
      </c>
      <c r="D12" s="22">
        <f t="shared" si="2"/>
        <v>220.51000000000022</v>
      </c>
      <c r="E12" s="23">
        <f t="shared" si="3"/>
        <v>1.0551275</v>
      </c>
    </row>
    <row r="13" spans="1:5" x14ac:dyDescent="0.35">
      <c r="A13" s="20" t="s">
        <v>155</v>
      </c>
      <c r="B13" s="22">
        <f>11347.24</f>
        <v>11347.24</v>
      </c>
      <c r="C13" s="22">
        <f>6000</f>
        <v>6000</v>
      </c>
      <c r="D13" s="22">
        <f t="shared" si="2"/>
        <v>5347.24</v>
      </c>
      <c r="E13" s="23">
        <f t="shared" si="3"/>
        <v>1.8912066666666667</v>
      </c>
    </row>
    <row r="14" spans="1:5" x14ac:dyDescent="0.35">
      <c r="A14" s="20" t="s">
        <v>156</v>
      </c>
      <c r="B14" s="22">
        <f>6800</f>
        <v>6800</v>
      </c>
      <c r="C14" s="22">
        <f>6700</f>
        <v>6700</v>
      </c>
      <c r="D14" s="22">
        <f t="shared" si="2"/>
        <v>100</v>
      </c>
      <c r="E14" s="23">
        <f t="shared" si="3"/>
        <v>1.0149253731343284</v>
      </c>
    </row>
    <row r="15" spans="1:5" x14ac:dyDescent="0.35">
      <c r="A15" s="20" t="s">
        <v>157</v>
      </c>
      <c r="B15" s="22">
        <f>7400</f>
        <v>7400</v>
      </c>
      <c r="C15" s="22">
        <f>4500</f>
        <v>4500</v>
      </c>
      <c r="D15" s="22">
        <f t="shared" si="2"/>
        <v>2900</v>
      </c>
      <c r="E15" s="23">
        <f t="shared" si="3"/>
        <v>1.6444444444444444</v>
      </c>
    </row>
    <row r="16" spans="1:5" x14ac:dyDescent="0.35">
      <c r="A16" s="20" t="s">
        <v>158</v>
      </c>
      <c r="B16" s="22">
        <f>1560</f>
        <v>1560</v>
      </c>
      <c r="C16" s="22">
        <f>1800</f>
        <v>1800</v>
      </c>
      <c r="D16" s="22">
        <f t="shared" si="2"/>
        <v>-240</v>
      </c>
      <c r="E16" s="23">
        <f t="shared" si="3"/>
        <v>0.8666666666666667</v>
      </c>
    </row>
    <row r="17" spans="1:5" x14ac:dyDescent="0.35">
      <c r="A17" s="20" t="s">
        <v>159</v>
      </c>
      <c r="B17" s="22">
        <f>4797.26</f>
        <v>4797.26</v>
      </c>
      <c r="C17" s="22">
        <f>5500</f>
        <v>5500</v>
      </c>
      <c r="D17" s="22">
        <f t="shared" si="2"/>
        <v>-702.73999999999978</v>
      </c>
      <c r="E17" s="23">
        <f t="shared" si="3"/>
        <v>0.87222909090909095</v>
      </c>
    </row>
    <row r="18" spans="1:5" x14ac:dyDescent="0.35">
      <c r="A18" s="20" t="s">
        <v>160</v>
      </c>
      <c r="B18" s="22">
        <f>2888</f>
        <v>2888</v>
      </c>
      <c r="C18" s="22">
        <f>2200</f>
        <v>2200</v>
      </c>
      <c r="D18" s="22">
        <f t="shared" si="2"/>
        <v>688</v>
      </c>
      <c r="E18" s="23">
        <f t="shared" si="3"/>
        <v>1.3127272727272727</v>
      </c>
    </row>
    <row r="19" spans="1:5" x14ac:dyDescent="0.35">
      <c r="A19" s="20" t="s">
        <v>161</v>
      </c>
      <c r="B19" s="22">
        <f>8960</f>
        <v>8960</v>
      </c>
      <c r="C19" s="22">
        <f>8100</f>
        <v>8100</v>
      </c>
      <c r="D19" s="22">
        <f t="shared" si="2"/>
        <v>860</v>
      </c>
      <c r="E19" s="23">
        <f t="shared" si="3"/>
        <v>1.1061728395061727</v>
      </c>
    </row>
    <row r="20" spans="1:5" x14ac:dyDescent="0.35">
      <c r="A20" s="20" t="s">
        <v>162</v>
      </c>
      <c r="B20" s="24">
        <f>(((((((((B10)+(B11))+(B12))+(B13))+(B14))+(B15))+(B16))+(B17))+(B18))+(B19)</f>
        <v>57008.160000000003</v>
      </c>
      <c r="C20" s="24">
        <f>(((((((((C10)+(C11))+(C12))+(C13))+(C14))+(C15))+(C16))+(C17))+(C18))+(C19)</f>
        <v>54800</v>
      </c>
      <c r="D20" s="24">
        <f t="shared" si="2"/>
        <v>2208.1600000000035</v>
      </c>
      <c r="E20" s="25">
        <f t="shared" si="3"/>
        <v>1.040294890510949</v>
      </c>
    </row>
    <row r="22" spans="1:5" x14ac:dyDescent="0.35">
      <c r="A22" s="3" t="s">
        <v>357</v>
      </c>
      <c r="B22" s="12">
        <f>B8-B20</f>
        <v>50642.34</v>
      </c>
      <c r="C22" s="12">
        <f t="shared" ref="C22:E22" si="4">C8-C20</f>
        <v>40100</v>
      </c>
      <c r="D22" s="12">
        <f t="shared" si="4"/>
        <v>10542.339999999997</v>
      </c>
      <c r="E22" s="12"/>
    </row>
  </sheetData>
  <mergeCells count="1">
    <mergeCell ref="B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5EBF-8CFA-4696-97AA-A126D2574D5A}">
  <dimension ref="A1:F19"/>
  <sheetViews>
    <sheetView workbookViewId="0"/>
  </sheetViews>
  <sheetFormatPr defaultRowHeight="14.5" x14ac:dyDescent="0.35"/>
  <cols>
    <col min="1" max="1" width="44.1796875" customWidth="1"/>
    <col min="2" max="2" width="12.26953125" bestFit="1" customWidth="1"/>
    <col min="3" max="3" width="11.7265625" bestFit="1" customWidth="1"/>
    <col min="4" max="4" width="11.26953125" bestFit="1" customWidth="1"/>
    <col min="6" max="6" width="35.7265625" customWidth="1"/>
  </cols>
  <sheetData>
    <row r="1" spans="1:6" x14ac:dyDescent="0.35">
      <c r="A1" s="1"/>
      <c r="B1" s="48" t="s">
        <v>2</v>
      </c>
      <c r="C1" s="44"/>
      <c r="D1" s="44"/>
      <c r="E1" s="44"/>
    </row>
    <row r="2" spans="1:6" ht="24" customHeight="1" x14ac:dyDescent="0.35">
      <c r="A2" s="1"/>
      <c r="B2" s="2" t="s">
        <v>3</v>
      </c>
      <c r="C2" s="2" t="s">
        <v>4</v>
      </c>
      <c r="D2" s="2" t="s">
        <v>5</v>
      </c>
      <c r="E2" s="2" t="s">
        <v>6</v>
      </c>
      <c r="F2" s="10" t="s">
        <v>401</v>
      </c>
    </row>
    <row r="3" spans="1:6" ht="15.5" x14ac:dyDescent="0.35">
      <c r="A3" s="11" t="s">
        <v>355</v>
      </c>
      <c r="B3" s="10"/>
      <c r="C3" s="10"/>
      <c r="D3" s="10"/>
      <c r="E3" s="10"/>
    </row>
    <row r="4" spans="1:6" x14ac:dyDescent="0.35">
      <c r="A4" s="20" t="s">
        <v>43</v>
      </c>
      <c r="B4" s="22">
        <f>11147.78</f>
        <v>11147.78</v>
      </c>
      <c r="C4" s="22">
        <f>24000</f>
        <v>24000</v>
      </c>
      <c r="D4" s="22">
        <f t="shared" ref="D4" si="0">(B4)-(C4)</f>
        <v>-12852.22</v>
      </c>
      <c r="E4" s="23">
        <f t="shared" ref="E4" si="1">IF(C4=0,"",(B4)/(C4))</f>
        <v>0.46449083333333335</v>
      </c>
    </row>
    <row r="6" spans="1:6" ht="15.5" x14ac:dyDescent="0.35">
      <c r="A6" s="15" t="s">
        <v>356</v>
      </c>
    </row>
    <row r="7" spans="1:6" x14ac:dyDescent="0.35">
      <c r="A7" s="20" t="s">
        <v>185</v>
      </c>
      <c r="B7" s="21"/>
      <c r="C7" s="21"/>
      <c r="D7" s="22">
        <f t="shared" ref="D7:D16" si="2">(B7)-(C7)</f>
        <v>0</v>
      </c>
      <c r="E7" s="23" t="str">
        <f t="shared" ref="E7:E16" si="3">IF(C7=0,"",(B7)/(C7))</f>
        <v/>
      </c>
    </row>
    <row r="8" spans="1:6" x14ac:dyDescent="0.35">
      <c r="A8" s="20" t="s">
        <v>402</v>
      </c>
      <c r="B8" s="22">
        <f>3000</f>
        <v>3000</v>
      </c>
      <c r="C8" s="22">
        <f>3000</f>
        <v>3000</v>
      </c>
      <c r="D8" s="22">
        <f t="shared" si="2"/>
        <v>0</v>
      </c>
      <c r="E8" s="23">
        <f t="shared" si="3"/>
        <v>1</v>
      </c>
    </row>
    <row r="9" spans="1:6" x14ac:dyDescent="0.35">
      <c r="A9" s="20" t="s">
        <v>186</v>
      </c>
      <c r="B9" s="21"/>
      <c r="C9" s="22">
        <f>1200</f>
        <v>1200</v>
      </c>
      <c r="D9" s="22">
        <f t="shared" si="2"/>
        <v>-1200</v>
      </c>
      <c r="E9" s="23">
        <f t="shared" si="3"/>
        <v>0</v>
      </c>
    </row>
    <row r="10" spans="1:6" x14ac:dyDescent="0.35">
      <c r="A10" s="20" t="s">
        <v>187</v>
      </c>
      <c r="B10" s="22">
        <f>15502.62</f>
        <v>15502.62</v>
      </c>
      <c r="C10" s="22">
        <f>18675</f>
        <v>18675</v>
      </c>
      <c r="D10" s="22">
        <f t="shared" si="2"/>
        <v>-3172.3799999999992</v>
      </c>
      <c r="E10" s="23">
        <f t="shared" si="3"/>
        <v>0.8301269076305221</v>
      </c>
    </row>
    <row r="11" spans="1:6" x14ac:dyDescent="0.35">
      <c r="A11" s="20" t="s">
        <v>403</v>
      </c>
      <c r="B11" s="22">
        <f>1957.88</f>
        <v>1957.88</v>
      </c>
      <c r="C11" s="22">
        <f>8000</f>
        <v>8000</v>
      </c>
      <c r="D11" s="22">
        <f t="shared" si="2"/>
        <v>-6042.12</v>
      </c>
      <c r="E11" s="23">
        <f t="shared" si="3"/>
        <v>0.24473500000000001</v>
      </c>
    </row>
    <row r="12" spans="1:6" x14ac:dyDescent="0.35">
      <c r="A12" s="20" t="s">
        <v>188</v>
      </c>
      <c r="B12" s="22">
        <f>181.87</f>
        <v>181.87</v>
      </c>
      <c r="C12" s="22">
        <f>800</f>
        <v>800</v>
      </c>
      <c r="D12" s="22">
        <f t="shared" si="2"/>
        <v>-618.13</v>
      </c>
      <c r="E12" s="23">
        <f t="shared" si="3"/>
        <v>0.2273375</v>
      </c>
    </row>
    <row r="13" spans="1:6" x14ac:dyDescent="0.35">
      <c r="A13" s="20" t="s">
        <v>404</v>
      </c>
      <c r="B13" s="22">
        <f>750</f>
        <v>750</v>
      </c>
      <c r="C13" s="22">
        <f>500</f>
        <v>500</v>
      </c>
      <c r="D13" s="22">
        <f t="shared" si="2"/>
        <v>250</v>
      </c>
      <c r="E13" s="23">
        <f t="shared" si="3"/>
        <v>1.5</v>
      </c>
    </row>
    <row r="14" spans="1:6" x14ac:dyDescent="0.35">
      <c r="A14" s="20" t="s">
        <v>405</v>
      </c>
      <c r="B14" s="22">
        <f>2335.17</f>
        <v>2335.17</v>
      </c>
      <c r="C14" s="22">
        <f>8000</f>
        <v>8000</v>
      </c>
      <c r="D14" s="22">
        <f t="shared" si="2"/>
        <v>-5664.83</v>
      </c>
      <c r="E14" s="23">
        <f t="shared" si="3"/>
        <v>0.29189625000000002</v>
      </c>
    </row>
    <row r="15" spans="1:6" x14ac:dyDescent="0.35">
      <c r="A15" s="20" t="s">
        <v>406</v>
      </c>
      <c r="B15" s="22">
        <f>625</f>
        <v>625</v>
      </c>
      <c r="C15" s="22">
        <f>625</f>
        <v>625</v>
      </c>
      <c r="D15" s="22">
        <f t="shared" si="2"/>
        <v>0</v>
      </c>
      <c r="E15" s="23">
        <f t="shared" si="3"/>
        <v>1</v>
      </c>
    </row>
    <row r="16" spans="1:6" x14ac:dyDescent="0.35">
      <c r="A16" s="20" t="s">
        <v>189</v>
      </c>
      <c r="B16" s="24">
        <f>((((((((B7)+(B8))+(B9))+(B10))+(B11))+(B12))+(B13))+(B14))+(B15)</f>
        <v>24352.54</v>
      </c>
      <c r="C16" s="24">
        <f>((((((((C7)+(C8))+(C9))+(C10))+(C11))+(C12))+(C13))+(C14))+(C15)</f>
        <v>40800</v>
      </c>
      <c r="D16" s="24">
        <f t="shared" si="2"/>
        <v>-16447.46</v>
      </c>
      <c r="E16" s="25">
        <f t="shared" si="3"/>
        <v>0.59687598039215684</v>
      </c>
    </row>
    <row r="19" spans="1:5" x14ac:dyDescent="0.35">
      <c r="A19" s="3" t="s">
        <v>357</v>
      </c>
      <c r="B19" s="12">
        <f>B4-B16</f>
        <v>-13204.76</v>
      </c>
      <c r="C19" s="12">
        <f>C4-C16</f>
        <v>-16800</v>
      </c>
      <c r="D19" s="12">
        <f>D4-D16</f>
        <v>3595.24</v>
      </c>
      <c r="E19" s="12"/>
    </row>
  </sheetData>
  <mergeCells count="1">
    <mergeCell ref="B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AF0A-4665-49F5-B8D9-9E18F188029F}">
  <dimension ref="A1:F17"/>
  <sheetViews>
    <sheetView workbookViewId="0"/>
  </sheetViews>
  <sheetFormatPr defaultRowHeight="14.5" x14ac:dyDescent="0.35"/>
  <cols>
    <col min="1" max="1" width="34.453125" customWidth="1"/>
    <col min="2" max="3" width="12.26953125" bestFit="1" customWidth="1"/>
    <col min="4" max="4" width="11.54296875" bestFit="1" customWidth="1"/>
    <col min="6" max="6" width="26.7265625" customWidth="1"/>
  </cols>
  <sheetData>
    <row r="1" spans="1:6" x14ac:dyDescent="0.35">
      <c r="A1" s="1"/>
      <c r="B1" s="48" t="s">
        <v>2</v>
      </c>
      <c r="C1" s="44"/>
      <c r="D1" s="44"/>
      <c r="E1" s="44"/>
    </row>
    <row r="2" spans="1:6" ht="24.65" customHeight="1" x14ac:dyDescent="0.35">
      <c r="A2" s="1"/>
      <c r="B2" s="2" t="s">
        <v>3</v>
      </c>
      <c r="C2" s="2" t="s">
        <v>4</v>
      </c>
      <c r="D2" s="2" t="s">
        <v>5</v>
      </c>
      <c r="E2" s="2" t="s">
        <v>6</v>
      </c>
      <c r="F2" s="10" t="s">
        <v>408</v>
      </c>
    </row>
    <row r="3" spans="1:6" ht="15.5" x14ac:dyDescent="0.35">
      <c r="A3" s="11" t="s">
        <v>355</v>
      </c>
      <c r="B3" s="10"/>
      <c r="C3" s="10"/>
      <c r="D3" s="10"/>
      <c r="E3" s="10"/>
    </row>
    <row r="4" spans="1:6" x14ac:dyDescent="0.35">
      <c r="A4" s="20" t="s">
        <v>407</v>
      </c>
      <c r="B4" s="22">
        <f>12703.62</f>
        <v>12703.62</v>
      </c>
      <c r="C4" s="22">
        <f>12750</f>
        <v>12750</v>
      </c>
      <c r="D4" s="22">
        <f t="shared" ref="D4" si="0">(B4)-(C4)</f>
        <v>-46.3799999999992</v>
      </c>
      <c r="E4" s="23">
        <f t="shared" ref="E4" si="1">IF(C4=0,"",(B4)/(C4))</f>
        <v>0.99636235294117659</v>
      </c>
    </row>
    <row r="5" spans="1:6" ht="15.5" x14ac:dyDescent="0.35">
      <c r="A5" s="15" t="s">
        <v>356</v>
      </c>
    </row>
    <row r="6" spans="1:6" x14ac:dyDescent="0.35">
      <c r="A6" s="20" t="s">
        <v>198</v>
      </c>
      <c r="B6" s="21"/>
      <c r="C6" s="21"/>
      <c r="D6" s="22">
        <f t="shared" ref="D6:D15" si="2">(B6)-(C6)</f>
        <v>0</v>
      </c>
      <c r="E6" s="23" t="str">
        <f t="shared" ref="E6:E15" si="3">IF(C6=0,"",(B6)/(C6))</f>
        <v/>
      </c>
    </row>
    <row r="7" spans="1:6" x14ac:dyDescent="0.35">
      <c r="A7" s="20" t="s">
        <v>199</v>
      </c>
      <c r="B7" s="21"/>
      <c r="C7" s="22">
        <f>6600</f>
        <v>6600</v>
      </c>
      <c r="D7" s="22">
        <f t="shared" si="2"/>
        <v>-6600</v>
      </c>
      <c r="E7" s="23">
        <f t="shared" si="3"/>
        <v>0</v>
      </c>
    </row>
    <row r="8" spans="1:6" x14ac:dyDescent="0.35">
      <c r="A8" s="20" t="s">
        <v>200</v>
      </c>
      <c r="B8" s="22">
        <f>5658</f>
        <v>5658</v>
      </c>
      <c r="C8" s="22">
        <f>5420</f>
        <v>5420</v>
      </c>
      <c r="D8" s="22">
        <f t="shared" si="2"/>
        <v>238</v>
      </c>
      <c r="E8" s="23">
        <f t="shared" si="3"/>
        <v>1.0439114391143911</v>
      </c>
    </row>
    <row r="9" spans="1:6" x14ac:dyDescent="0.35">
      <c r="A9" s="20" t="s">
        <v>201</v>
      </c>
      <c r="B9" s="22">
        <f>7113.6</f>
        <v>7113.6</v>
      </c>
      <c r="C9" s="22">
        <f>7500</f>
        <v>7500</v>
      </c>
      <c r="D9" s="22">
        <f t="shared" si="2"/>
        <v>-386.39999999999964</v>
      </c>
      <c r="E9" s="23">
        <f t="shared" si="3"/>
        <v>0.9484800000000001</v>
      </c>
    </row>
    <row r="10" spans="1:6" x14ac:dyDescent="0.35">
      <c r="A10" s="20" t="s">
        <v>202</v>
      </c>
      <c r="B10" s="22">
        <f>500</f>
        <v>500</v>
      </c>
      <c r="C10" s="22">
        <f>500</f>
        <v>500</v>
      </c>
      <c r="D10" s="22">
        <f t="shared" si="2"/>
        <v>0</v>
      </c>
      <c r="E10" s="23">
        <f t="shared" si="3"/>
        <v>1</v>
      </c>
    </row>
    <row r="11" spans="1:6" x14ac:dyDescent="0.35">
      <c r="A11" s="20" t="s">
        <v>203</v>
      </c>
      <c r="B11" s="21"/>
      <c r="C11" s="22">
        <f>300</f>
        <v>300</v>
      </c>
      <c r="D11" s="22">
        <f t="shared" si="2"/>
        <v>-300</v>
      </c>
      <c r="E11" s="23">
        <f t="shared" si="3"/>
        <v>0</v>
      </c>
    </row>
    <row r="12" spans="1:6" x14ac:dyDescent="0.35">
      <c r="A12" s="20" t="s">
        <v>204</v>
      </c>
      <c r="B12" s="22">
        <f>1500</f>
        <v>1500</v>
      </c>
      <c r="C12" s="22">
        <f>3000</f>
        <v>3000</v>
      </c>
      <c r="D12" s="22">
        <f t="shared" si="2"/>
        <v>-1500</v>
      </c>
      <c r="E12" s="23">
        <f t="shared" si="3"/>
        <v>0.5</v>
      </c>
    </row>
    <row r="13" spans="1:6" x14ac:dyDescent="0.35">
      <c r="A13" s="20" t="s">
        <v>205</v>
      </c>
      <c r="B13" s="22">
        <f>7000</f>
        <v>7000</v>
      </c>
      <c r="C13" s="22">
        <f>8000</f>
        <v>8000</v>
      </c>
      <c r="D13" s="22">
        <f t="shared" si="2"/>
        <v>-1000</v>
      </c>
      <c r="E13" s="23">
        <f t="shared" si="3"/>
        <v>0.875</v>
      </c>
    </row>
    <row r="14" spans="1:6" x14ac:dyDescent="0.35">
      <c r="A14" s="20" t="s">
        <v>206</v>
      </c>
      <c r="B14" s="22">
        <f>625</f>
        <v>625</v>
      </c>
      <c r="C14" s="22">
        <f>700</f>
        <v>700</v>
      </c>
      <c r="D14" s="22">
        <f t="shared" si="2"/>
        <v>-75</v>
      </c>
      <c r="E14" s="23">
        <f t="shared" si="3"/>
        <v>0.8928571428571429</v>
      </c>
    </row>
    <row r="15" spans="1:6" x14ac:dyDescent="0.35">
      <c r="A15" s="20" t="s">
        <v>207</v>
      </c>
      <c r="B15" s="24">
        <f>((((((((B6)+(B7))+(B8))+(B9))+(B10))+(B11))+(B12))+(B13))+(B14)</f>
        <v>22396.6</v>
      </c>
      <c r="C15" s="24">
        <f>((((((((C6)+(C7))+(C8))+(C9))+(C10))+(C11))+(C12))+(C13))+(C14)</f>
        <v>32020</v>
      </c>
      <c r="D15" s="24">
        <f t="shared" si="2"/>
        <v>-9623.4000000000015</v>
      </c>
      <c r="E15" s="25">
        <f t="shared" si="3"/>
        <v>0.69945658963148027</v>
      </c>
    </row>
    <row r="17" spans="1:5" x14ac:dyDescent="0.35">
      <c r="A17" s="3" t="s">
        <v>357</v>
      </c>
      <c r="B17" s="12">
        <f>B4-B15</f>
        <v>-9692.9799999999977</v>
      </c>
      <c r="C17" s="12">
        <f t="shared" ref="C17:E17" si="4">C4-C15</f>
        <v>-19270</v>
      </c>
      <c r="D17" s="12">
        <f t="shared" si="4"/>
        <v>9577.0200000000023</v>
      </c>
      <c r="E17" s="12"/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Budget vs. Actuals</vt:lpstr>
      <vt:lpstr>Trip Acct</vt:lpstr>
      <vt:lpstr>Girls Folkstyle National Duals</vt:lpstr>
      <vt:lpstr>Elem Dual State</vt:lpstr>
      <vt:lpstr>Middle School State</vt:lpstr>
      <vt:lpstr>Folkstyle State</vt:lpstr>
      <vt:lpstr>FS_Greco St</vt:lpstr>
      <vt:lpstr>14UBoysTeam</vt:lpstr>
      <vt:lpstr>16UBoysTeam</vt:lpstr>
      <vt:lpstr>Heartland</vt:lpstr>
      <vt:lpstr>JrDuals Men</vt:lpstr>
      <vt:lpstr>JrDuals Wm</vt:lpstr>
      <vt:lpstr>KidsNat'l</vt:lpstr>
      <vt:lpstr>Central Reg</vt:lpstr>
      <vt:lpstr>Fargo</vt:lpstr>
      <vt:lpstr>14U Event</vt:lpstr>
      <vt:lpstr>16U Event</vt:lpstr>
      <vt:lpstr>Showcase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Strueder, Jeff</cp:lastModifiedBy>
  <cp:revision/>
  <dcterms:created xsi:type="dcterms:W3CDTF">2021-07-10T21:24:17Z</dcterms:created>
  <dcterms:modified xsi:type="dcterms:W3CDTF">2023-07-08T19:06:21Z</dcterms:modified>
  <cp:category/>
  <cp:contentStatus/>
</cp:coreProperties>
</file>