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D:\Roosevelt Athelitic Boosters\Finance\"/>
    </mc:Choice>
  </mc:AlternateContent>
  <bookViews>
    <workbookView xWindow="0" yWindow="0" windowWidth="23451" windowHeight="11537" tabRatio="467"/>
  </bookViews>
  <sheets>
    <sheet name="Cash Flow" sheetId="10" r:id="rId1"/>
    <sheet name="Team Accounts" sheetId="13" r:id="rId2"/>
    <sheet name="RAB Grants by Sport" sheetId="14" r:id="rId3"/>
    <sheet name="Auction Results" sheetId="15" r:id="rId4"/>
    <sheet name="Checks" sheetId="16" r:id="rId5"/>
    <sheet name="Sheet1" sheetId="17" r:id="rId6"/>
  </sheets>
  <definedNames>
    <definedName name="_xlnm.Print_Area" localSheetId="2">'RAB Grants by Sport'!#REF!</definedName>
  </definedNames>
  <calcPr calcId="171027"/>
</workbook>
</file>

<file path=xl/calcChain.xml><?xml version="1.0" encoding="utf-8"?>
<calcChain xmlns="http://schemas.openxmlformats.org/spreadsheetml/2006/main">
  <c r="AD18" i="13" l="1"/>
  <c r="AE9" i="13" l="1"/>
  <c r="AD27" i="14"/>
  <c r="AE18" i="13"/>
  <c r="AD9" i="13"/>
  <c r="AD16" i="13"/>
  <c r="AD19" i="13"/>
  <c r="M59" i="10"/>
  <c r="M58" i="10"/>
  <c r="K21" i="10" l="1"/>
  <c r="K4" i="10"/>
  <c r="K3" i="10"/>
  <c r="G17" i="13" l="1"/>
  <c r="AA21" i="13" l="1"/>
  <c r="J4" i="10"/>
  <c r="AA9" i="13"/>
  <c r="AA23" i="13"/>
  <c r="AB15" i="13"/>
  <c r="AB9" i="13"/>
  <c r="AB18" i="13"/>
  <c r="J21" i="10" l="1"/>
  <c r="J3" i="10" l="1"/>
  <c r="M57" i="17"/>
  <c r="M58" i="17"/>
  <c r="M59" i="17"/>
  <c r="O56" i="17"/>
  <c r="I61" i="17" s="1"/>
  <c r="M61" i="17" s="1"/>
  <c r="L56" i="17" l="1"/>
  <c r="M56" i="17" s="1"/>
  <c r="I60" i="17"/>
  <c r="M60" i="17" s="1"/>
  <c r="AD24" i="14"/>
  <c r="AD23" i="14"/>
  <c r="X21" i="13"/>
  <c r="X28" i="13"/>
  <c r="X10" i="13"/>
  <c r="X8" i="13"/>
  <c r="I6" i="15"/>
  <c r="X11" i="13"/>
  <c r="X7" i="13"/>
  <c r="X9" i="13"/>
  <c r="X18" i="13"/>
  <c r="X6" i="13"/>
  <c r="X23" i="13"/>
  <c r="X14" i="13"/>
  <c r="X26" i="13"/>
  <c r="X13" i="13"/>
  <c r="X16" i="13"/>
  <c r="X25" i="13"/>
  <c r="X5" i="13"/>
  <c r="X19" i="13"/>
  <c r="X12" i="13"/>
  <c r="X27" i="13"/>
  <c r="X15" i="13"/>
  <c r="X17" i="13"/>
  <c r="X24" i="13"/>
  <c r="M62" i="17" l="1"/>
  <c r="I19" i="10"/>
  <c r="I8" i="10"/>
  <c r="I4" i="10"/>
  <c r="I3" i="10"/>
  <c r="I21" i="10" l="1"/>
  <c r="I7" i="10"/>
  <c r="I6" i="10"/>
  <c r="F64" i="17" l="1"/>
  <c r="F66" i="17" s="1"/>
  <c r="U17" i="13" l="1"/>
  <c r="U11" i="13"/>
  <c r="U10" i="13"/>
  <c r="H21" i="10"/>
  <c r="AE7" i="14"/>
  <c r="AE9" i="14"/>
  <c r="AE11" i="14"/>
  <c r="AE13" i="14"/>
  <c r="AE14" i="14"/>
  <c r="AE17" i="14"/>
  <c r="AE18" i="14"/>
  <c r="AE19" i="14"/>
  <c r="AE20" i="14"/>
  <c r="AE21" i="14"/>
  <c r="AE23" i="14"/>
  <c r="AE24" i="14"/>
  <c r="AE25" i="14"/>
  <c r="AE29" i="14"/>
  <c r="H3" i="10"/>
  <c r="H8" i="10"/>
  <c r="H4" i="10"/>
  <c r="G8" i="10"/>
  <c r="G3" i="10"/>
  <c r="J48" i="17"/>
  <c r="I42" i="17"/>
  <c r="I43" i="17" s="1"/>
  <c r="F41" i="17"/>
  <c r="F42" i="17" s="1"/>
  <c r="G29" i="17"/>
  <c r="G30" i="17" s="1"/>
  <c r="F29" i="17"/>
  <c r="J49" i="17" l="1"/>
  <c r="J50" i="17" s="1"/>
  <c r="AA19" i="17"/>
  <c r="M15" i="13" l="1"/>
  <c r="S19" i="13" l="1"/>
  <c r="G21" i="10"/>
  <c r="S6" i="13" l="1"/>
  <c r="G4" i="10"/>
  <c r="Q78" i="17"/>
  <c r="J30" i="17"/>
  <c r="O74" i="17"/>
  <c r="J74" i="17"/>
  <c r="V26" i="17"/>
  <c r="W26" i="17"/>
  <c r="V27" i="17" s="1"/>
  <c r="U29" i="17" s="1"/>
  <c r="K30" i="17"/>
  <c r="P24" i="17"/>
  <c r="N28" i="17"/>
  <c r="J31" i="17" l="1"/>
  <c r="O75" i="17" s="1"/>
  <c r="O76" i="17" s="1"/>
  <c r="P30" i="17"/>
  <c r="P31" i="17" s="1"/>
  <c r="P33" i="17" s="1"/>
  <c r="P34" i="17" s="1"/>
  <c r="P17" i="13" l="1"/>
  <c r="O17" i="13"/>
  <c r="F4" i="10"/>
  <c r="O6" i="13"/>
  <c r="P27" i="13"/>
  <c r="P23" i="13"/>
  <c r="P20" i="13"/>
  <c r="P19" i="13"/>
  <c r="P16" i="13"/>
  <c r="P6" i="13"/>
  <c r="F21" i="10"/>
  <c r="F3" i="10"/>
  <c r="AK58" i="10"/>
  <c r="AJ63" i="10"/>
  <c r="AK63" i="10" s="1"/>
  <c r="E21" i="10" l="1"/>
  <c r="E4" i="10"/>
  <c r="E3" i="10"/>
  <c r="M7" i="13"/>
  <c r="M27" i="13"/>
  <c r="AL27" i="13" s="1"/>
  <c r="L6" i="13"/>
  <c r="I16" i="13"/>
  <c r="D4" i="10"/>
  <c r="I23" i="13"/>
  <c r="D3" i="10"/>
  <c r="I6" i="13"/>
  <c r="D21" i="10"/>
  <c r="D53" i="10" s="1"/>
  <c r="I15" i="13"/>
  <c r="I7" i="13"/>
  <c r="I17" i="13"/>
  <c r="AK17" i="13" s="1"/>
  <c r="I10" i="13"/>
  <c r="AK10" i="13" s="1"/>
  <c r="F7" i="13"/>
  <c r="AK7" i="13" s="1"/>
  <c r="C4" i="10"/>
  <c r="C3" i="10"/>
  <c r="C13" i="10" s="1"/>
  <c r="F15" i="13"/>
  <c r="AK15" i="13" s="1"/>
  <c r="G15" i="13"/>
  <c r="G23" i="13"/>
  <c r="C21" i="10"/>
  <c r="C53" i="10" s="1"/>
  <c r="B3" i="10"/>
  <c r="C16" i="13"/>
  <c r="B4" i="10"/>
  <c r="C15" i="13"/>
  <c r="B23" i="10"/>
  <c r="B53" i="10" s="1"/>
  <c r="B21" i="10"/>
  <c r="C28" i="13"/>
  <c r="D15" i="13"/>
  <c r="AL15" i="13" s="1"/>
  <c r="I30" i="15"/>
  <c r="AC5" i="14"/>
  <c r="AC28" i="14"/>
  <c r="AE28" i="14" s="1"/>
  <c r="AC64" i="14"/>
  <c r="AB5" i="14"/>
  <c r="AB6" i="14"/>
  <c r="AE6" i="14" s="1"/>
  <c r="AB12" i="14"/>
  <c r="AE12" i="14" s="1"/>
  <c r="AB15" i="14"/>
  <c r="AE15" i="14" s="1"/>
  <c r="AB16" i="14"/>
  <c r="AE16" i="14" s="1"/>
  <c r="L53" i="10"/>
  <c r="L13" i="10"/>
  <c r="K53" i="10"/>
  <c r="K13" i="10"/>
  <c r="A414" i="16"/>
  <c r="A415" i="16" s="1"/>
  <c r="A416" i="16" s="1"/>
  <c r="A417" i="16" s="1"/>
  <c r="A418" i="16" s="1"/>
  <c r="A419" i="16" s="1"/>
  <c r="A420" i="16" s="1"/>
  <c r="A421" i="16" s="1"/>
  <c r="A422" i="16" s="1"/>
  <c r="H30" i="15"/>
  <c r="F26" i="15"/>
  <c r="E26" i="15"/>
  <c r="D26" i="15"/>
  <c r="D30" i="15" s="1"/>
  <c r="C26" i="15"/>
  <c r="B26" i="15"/>
  <c r="B30" i="15" s="1"/>
  <c r="F23" i="15"/>
  <c r="F30" i="15"/>
  <c r="E23" i="15"/>
  <c r="E30" i="15" s="1"/>
  <c r="D23" i="15"/>
  <c r="G21" i="15"/>
  <c r="G30" i="15" s="1"/>
  <c r="C16" i="15"/>
  <c r="C30" i="15" s="1"/>
  <c r="G8" i="15"/>
  <c r="AH29" i="13"/>
  <c r="J13" i="10"/>
  <c r="AL22" i="13"/>
  <c r="AK22" i="13"/>
  <c r="E22" i="13"/>
  <c r="H22" i="13" s="1"/>
  <c r="K22" i="13" s="1"/>
  <c r="N22" i="13" s="1"/>
  <c r="Q22" i="13" s="1"/>
  <c r="T22" i="13" s="1"/>
  <c r="W22" i="13" s="1"/>
  <c r="Z22" i="13" s="1"/>
  <c r="AC22" i="13" s="1"/>
  <c r="AF22" i="13" s="1"/>
  <c r="AI22" i="13" s="1"/>
  <c r="AL12" i="13"/>
  <c r="AK12" i="13"/>
  <c r="E12" i="13"/>
  <c r="H12" i="13" s="1"/>
  <c r="K12" i="13" s="1"/>
  <c r="N12" i="13" s="1"/>
  <c r="Q12" i="13" s="1"/>
  <c r="T12" i="13" s="1"/>
  <c r="W12" i="13" s="1"/>
  <c r="Z12" i="13" s="1"/>
  <c r="AC12" i="13" s="1"/>
  <c r="AF12" i="13" s="1"/>
  <c r="AI12" i="13" s="1"/>
  <c r="AL21" i="13"/>
  <c r="AK21" i="13"/>
  <c r="E21" i="13"/>
  <c r="H21" i="13" s="1"/>
  <c r="K21" i="13" s="1"/>
  <c r="N21" i="13" s="1"/>
  <c r="Q21" i="13" s="1"/>
  <c r="T21" i="13" s="1"/>
  <c r="W21" i="13" s="1"/>
  <c r="Z21" i="13" s="1"/>
  <c r="AC21" i="13" s="1"/>
  <c r="AF21" i="13" s="1"/>
  <c r="AI21" i="13" s="1"/>
  <c r="AL11" i="13"/>
  <c r="AK11" i="13"/>
  <c r="E11" i="13"/>
  <c r="H11" i="13" s="1"/>
  <c r="K11" i="13" s="1"/>
  <c r="N11" i="13" s="1"/>
  <c r="Q11" i="13" s="1"/>
  <c r="T11" i="13" s="1"/>
  <c r="W11" i="13" s="1"/>
  <c r="Z11" i="13" s="1"/>
  <c r="AC11" i="13" s="1"/>
  <c r="AF11" i="13" s="1"/>
  <c r="AI11" i="13" s="1"/>
  <c r="AL20" i="13"/>
  <c r="AK20" i="13"/>
  <c r="E20" i="13"/>
  <c r="H20" i="13" s="1"/>
  <c r="K20" i="13" s="1"/>
  <c r="N20" i="13" s="1"/>
  <c r="Q20" i="13" s="1"/>
  <c r="T20" i="13" s="1"/>
  <c r="W20" i="13" s="1"/>
  <c r="Z20" i="13" s="1"/>
  <c r="AC20" i="13" s="1"/>
  <c r="AF20" i="13" s="1"/>
  <c r="AI20" i="13" s="1"/>
  <c r="AL10" i="13"/>
  <c r="E10" i="13"/>
  <c r="H10" i="13" s="1"/>
  <c r="AL19" i="13"/>
  <c r="AK19" i="13"/>
  <c r="E19" i="13"/>
  <c r="H19" i="13" s="1"/>
  <c r="K19" i="13" s="1"/>
  <c r="N19" i="13" s="1"/>
  <c r="Q19" i="13" s="1"/>
  <c r="T19" i="13" s="1"/>
  <c r="W19" i="13" s="1"/>
  <c r="Z19" i="13" s="1"/>
  <c r="AC19" i="13" s="1"/>
  <c r="AF19" i="13" s="1"/>
  <c r="AI19" i="13" s="1"/>
  <c r="AL9" i="13"/>
  <c r="AK9" i="13"/>
  <c r="E9" i="13"/>
  <c r="H9" i="13" s="1"/>
  <c r="K9" i="13" s="1"/>
  <c r="N9" i="13" s="1"/>
  <c r="Q9" i="13" s="1"/>
  <c r="T9" i="13" s="1"/>
  <c r="W9" i="13" s="1"/>
  <c r="Z9" i="13" s="1"/>
  <c r="AC9" i="13" s="1"/>
  <c r="AF9" i="13" s="1"/>
  <c r="AI9" i="13" s="1"/>
  <c r="AL18" i="13"/>
  <c r="AK18" i="13"/>
  <c r="E18" i="13"/>
  <c r="H18" i="13" s="1"/>
  <c r="K18" i="13" s="1"/>
  <c r="N18" i="13" s="1"/>
  <c r="Q18" i="13" s="1"/>
  <c r="T18" i="13" s="1"/>
  <c r="W18" i="13" s="1"/>
  <c r="Z18" i="13" s="1"/>
  <c r="AC18" i="13" s="1"/>
  <c r="AF18" i="13" s="1"/>
  <c r="AI18" i="13" s="1"/>
  <c r="AK8" i="13"/>
  <c r="E8" i="13"/>
  <c r="H8" i="13" s="1"/>
  <c r="K8" i="13" s="1"/>
  <c r="N8" i="13" s="1"/>
  <c r="Q8" i="13" s="1"/>
  <c r="T8" i="13" s="1"/>
  <c r="W8" i="13" s="1"/>
  <c r="Z8" i="13" s="1"/>
  <c r="AC8" i="13" s="1"/>
  <c r="AF8" i="13" s="1"/>
  <c r="AI8" i="13" s="1"/>
  <c r="E17" i="13"/>
  <c r="E7" i="13"/>
  <c r="AL16" i="13"/>
  <c r="E16" i="13"/>
  <c r="H16" i="13" s="1"/>
  <c r="J53" i="10"/>
  <c r="M8" i="10"/>
  <c r="H53" i="10"/>
  <c r="H13" i="10"/>
  <c r="G13" i="10"/>
  <c r="AD64" i="14"/>
  <c r="E5" i="13"/>
  <c r="H5" i="13" s="1"/>
  <c r="K5" i="13" s="1"/>
  <c r="N5" i="13" s="1"/>
  <c r="Q5" i="13" s="1"/>
  <c r="F53" i="10"/>
  <c r="F13" i="10"/>
  <c r="E53" i="10"/>
  <c r="E13" i="10"/>
  <c r="A282" i="16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A22" i="14"/>
  <c r="AE22" i="14" s="1"/>
  <c r="AA5" i="14"/>
  <c r="AA8" i="14"/>
  <c r="AE8" i="14" s="1"/>
  <c r="AA10" i="14"/>
  <c r="AE10" i="14" s="1"/>
  <c r="AA26" i="14"/>
  <c r="AE26" i="14" s="1"/>
  <c r="AA27" i="14"/>
  <c r="AE27" i="14" s="1"/>
  <c r="I53" i="10"/>
  <c r="G53" i="10"/>
  <c r="E27" i="13"/>
  <c r="H27" i="13" s="1"/>
  <c r="K27" i="13" s="1"/>
  <c r="N27" i="13" s="1"/>
  <c r="Q27" i="13" s="1"/>
  <c r="T27" i="13" s="1"/>
  <c r="W27" i="13" s="1"/>
  <c r="Z27" i="13" s="1"/>
  <c r="AC27" i="13" s="1"/>
  <c r="AF27" i="13" s="1"/>
  <c r="AI27" i="13" s="1"/>
  <c r="E6" i="13"/>
  <c r="H6" i="13" s="1"/>
  <c r="E13" i="13"/>
  <c r="H13" i="13" s="1"/>
  <c r="K13" i="13" s="1"/>
  <c r="N13" i="13" s="1"/>
  <c r="Q13" i="13" s="1"/>
  <c r="T13" i="13" s="1"/>
  <c r="W13" i="13" s="1"/>
  <c r="Z13" i="13" s="1"/>
  <c r="AC13" i="13" s="1"/>
  <c r="AF13" i="13" s="1"/>
  <c r="AI13" i="13" s="1"/>
  <c r="E14" i="13"/>
  <c r="H14" i="13" s="1"/>
  <c r="K14" i="13" s="1"/>
  <c r="N14" i="13" s="1"/>
  <c r="Q14" i="13" s="1"/>
  <c r="T14" i="13" s="1"/>
  <c r="W14" i="13" s="1"/>
  <c r="Z14" i="13" s="1"/>
  <c r="AC14" i="13" s="1"/>
  <c r="AF14" i="13" s="1"/>
  <c r="AI14" i="13" s="1"/>
  <c r="E23" i="13"/>
  <c r="H23" i="13" s="1"/>
  <c r="E24" i="13"/>
  <c r="H24" i="13" s="1"/>
  <c r="K24" i="13" s="1"/>
  <c r="N24" i="13" s="1"/>
  <c r="Q24" i="13" s="1"/>
  <c r="T24" i="13" s="1"/>
  <c r="W24" i="13" s="1"/>
  <c r="Z24" i="13" s="1"/>
  <c r="AC24" i="13" s="1"/>
  <c r="AF24" i="13" s="1"/>
  <c r="AI24" i="13" s="1"/>
  <c r="E25" i="13"/>
  <c r="H25" i="13"/>
  <c r="K25" i="13" s="1"/>
  <c r="N25" i="13" s="1"/>
  <c r="Q25" i="13" s="1"/>
  <c r="T25" i="13" s="1"/>
  <c r="W25" i="13" s="1"/>
  <c r="Z25" i="13" s="1"/>
  <c r="AC25" i="13" s="1"/>
  <c r="AF25" i="13" s="1"/>
  <c r="AI25" i="13" s="1"/>
  <c r="E26" i="13"/>
  <c r="H26" i="13" s="1"/>
  <c r="K26" i="13" s="1"/>
  <c r="N26" i="13" s="1"/>
  <c r="Q26" i="13" s="1"/>
  <c r="T26" i="13" s="1"/>
  <c r="W26" i="13" s="1"/>
  <c r="Z26" i="13" s="1"/>
  <c r="AC26" i="13" s="1"/>
  <c r="AF26" i="13" s="1"/>
  <c r="AI26" i="13" s="1"/>
  <c r="Z28" i="14"/>
  <c r="Y27" i="14"/>
  <c r="Z25" i="14"/>
  <c r="X12" i="14"/>
  <c r="Z12" i="14"/>
  <c r="Z6" i="14"/>
  <c r="X5" i="14"/>
  <c r="D45" i="16"/>
  <c r="Z64" i="14"/>
  <c r="M30" i="10"/>
  <c r="Y30" i="10" s="1"/>
  <c r="Z8" i="10"/>
  <c r="Z9" i="10"/>
  <c r="Z10" i="10"/>
  <c r="Z12" i="10"/>
  <c r="AE30" i="14"/>
  <c r="AE31" i="14"/>
  <c r="AE32" i="14"/>
  <c r="AE33" i="14"/>
  <c r="AE34" i="14"/>
  <c r="AE35" i="14"/>
  <c r="AE36" i="14"/>
  <c r="AE37" i="14"/>
  <c r="AE38" i="14"/>
  <c r="AE39" i="14"/>
  <c r="V40" i="14"/>
  <c r="AE40" i="14" s="1"/>
  <c r="AE41" i="14"/>
  <c r="AE42" i="14"/>
  <c r="AE43" i="14"/>
  <c r="AE44" i="14"/>
  <c r="AE45" i="14"/>
  <c r="AE46" i="14"/>
  <c r="AE47" i="14"/>
  <c r="V48" i="14"/>
  <c r="AE48" i="14" s="1"/>
  <c r="AE49" i="14"/>
  <c r="AE50" i="14"/>
  <c r="AE51" i="14"/>
  <c r="AE52" i="14"/>
  <c r="U53" i="14"/>
  <c r="V53" i="14"/>
  <c r="AE53" i="14"/>
  <c r="AE54" i="14"/>
  <c r="AE55" i="14"/>
  <c r="AE56" i="14"/>
  <c r="AE57" i="14"/>
  <c r="AE58" i="14"/>
  <c r="AE59" i="14"/>
  <c r="AE60" i="14"/>
  <c r="AE61" i="14"/>
  <c r="Y64" i="14"/>
  <c r="AK27" i="13"/>
  <c r="U5" i="14"/>
  <c r="U6" i="14"/>
  <c r="U10" i="14"/>
  <c r="U13" i="14"/>
  <c r="U14" i="14"/>
  <c r="U28" i="14"/>
  <c r="V10" i="14"/>
  <c r="V27" i="14"/>
  <c r="W62" i="14"/>
  <c r="M51" i="10"/>
  <c r="X51" i="10" s="1"/>
  <c r="M50" i="10"/>
  <c r="X50" i="10"/>
  <c r="M49" i="10"/>
  <c r="X49" i="10" s="1"/>
  <c r="M32" i="10"/>
  <c r="X32" i="10" s="1"/>
  <c r="M27" i="10"/>
  <c r="X27" i="10" s="1"/>
  <c r="M28" i="10"/>
  <c r="X28" i="10" s="1"/>
  <c r="M29" i="10"/>
  <c r="Y29" i="10" s="1"/>
  <c r="M16" i="10"/>
  <c r="Y16" i="10" s="1"/>
  <c r="M48" i="10"/>
  <c r="X48" i="10" s="1"/>
  <c r="M47" i="10"/>
  <c r="X47" i="10"/>
  <c r="M43" i="10"/>
  <c r="X43" i="10" s="1"/>
  <c r="M44" i="10"/>
  <c r="X44" i="10" s="1"/>
  <c r="M46" i="10"/>
  <c r="X46" i="10" s="1"/>
  <c r="M52" i="10"/>
  <c r="X52" i="10"/>
  <c r="AL6" i="13"/>
  <c r="W64" i="14"/>
  <c r="Q62" i="14"/>
  <c r="P62" i="14"/>
  <c r="O52" i="14"/>
  <c r="L52" i="14"/>
  <c r="O50" i="14"/>
  <c r="M46" i="14"/>
  <c r="J44" i="14"/>
  <c r="I44" i="14"/>
  <c r="S41" i="14"/>
  <c r="O34" i="14"/>
  <c r="N34" i="14"/>
  <c r="J34" i="14"/>
  <c r="I34" i="14"/>
  <c r="E33" i="14"/>
  <c r="D33" i="14"/>
  <c r="D32" i="14"/>
  <c r="D62" i="14" s="1"/>
  <c r="D30" i="14"/>
  <c r="O8" i="14"/>
  <c r="N8" i="14"/>
  <c r="L8" i="14"/>
  <c r="T27" i="14"/>
  <c r="T62" i="14"/>
  <c r="N27" i="14"/>
  <c r="M27" i="14"/>
  <c r="E27" i="14"/>
  <c r="S26" i="14"/>
  <c r="O26" i="14"/>
  <c r="M26" i="14"/>
  <c r="N23" i="14"/>
  <c r="M23" i="14"/>
  <c r="O22" i="14"/>
  <c r="N22" i="14"/>
  <c r="L22" i="14"/>
  <c r="K22" i="14"/>
  <c r="J22" i="14"/>
  <c r="F22" i="14"/>
  <c r="E22" i="14"/>
  <c r="D22" i="14"/>
  <c r="C22" i="14"/>
  <c r="B22" i="14"/>
  <c r="O21" i="14"/>
  <c r="M21" i="14"/>
  <c r="L21" i="14"/>
  <c r="C21" i="14"/>
  <c r="B21" i="14"/>
  <c r="O19" i="14"/>
  <c r="N19" i="14"/>
  <c r="M19" i="14"/>
  <c r="K19" i="14"/>
  <c r="I19" i="14"/>
  <c r="F19" i="14"/>
  <c r="E19" i="14"/>
  <c r="D19" i="14"/>
  <c r="B19" i="14"/>
  <c r="R18" i="14"/>
  <c r="O18" i="14"/>
  <c r="N18" i="14"/>
  <c r="M18" i="14"/>
  <c r="L18" i="14"/>
  <c r="J18" i="14"/>
  <c r="E18" i="14"/>
  <c r="D18" i="14"/>
  <c r="B18" i="14"/>
  <c r="R17" i="14"/>
  <c r="R62" i="14" s="1"/>
  <c r="O17" i="14"/>
  <c r="N17" i="14"/>
  <c r="M17" i="14"/>
  <c r="L17" i="14"/>
  <c r="I17" i="14"/>
  <c r="H17" i="14"/>
  <c r="H62" i="14" s="1"/>
  <c r="G17" i="14"/>
  <c r="G62" i="14" s="1"/>
  <c r="D17" i="14"/>
  <c r="C17" i="14"/>
  <c r="B17" i="14"/>
  <c r="N14" i="14"/>
  <c r="B14" i="14"/>
  <c r="D13" i="14"/>
  <c r="O12" i="14"/>
  <c r="N12" i="14"/>
  <c r="N62" i="14" s="1"/>
  <c r="M12" i="14"/>
  <c r="L12" i="14"/>
  <c r="J12" i="14"/>
  <c r="I12" i="14"/>
  <c r="E12" i="14"/>
  <c r="C12" i="14"/>
  <c r="B12" i="14"/>
  <c r="K9" i="14"/>
  <c r="O7" i="14"/>
  <c r="N7" i="14"/>
  <c r="M7" i="14"/>
  <c r="L7" i="14"/>
  <c r="E7" i="14"/>
  <c r="D7" i="14"/>
  <c r="B7" i="14"/>
  <c r="B5" i="14"/>
  <c r="O6" i="14"/>
  <c r="N6" i="14"/>
  <c r="M6" i="14"/>
  <c r="L6" i="14"/>
  <c r="G6" i="14"/>
  <c r="E6" i="14"/>
  <c r="O5" i="14"/>
  <c r="M5" i="14"/>
  <c r="L5" i="14"/>
  <c r="L62" i="14" s="1"/>
  <c r="K5" i="14"/>
  <c r="K62" i="14" s="1"/>
  <c r="J5" i="14"/>
  <c r="I5" i="14"/>
  <c r="I62" i="14" s="1"/>
  <c r="F5" i="14"/>
  <c r="F62" i="14" s="1"/>
  <c r="E5" i="14"/>
  <c r="D5" i="14"/>
  <c r="C5" i="14"/>
  <c r="G4" i="14"/>
  <c r="H4" i="14" s="1"/>
  <c r="I4" i="14" s="1"/>
  <c r="J4" i="14" s="1"/>
  <c r="K4" i="14" s="1"/>
  <c r="AL14" i="13"/>
  <c r="AL23" i="13"/>
  <c r="AL24" i="13"/>
  <c r="AL5" i="13"/>
  <c r="AL13" i="13"/>
  <c r="AL25" i="13"/>
  <c r="AL28" i="13"/>
  <c r="AL26" i="13"/>
  <c r="AK26" i="13"/>
  <c r="AK25" i="13"/>
  <c r="AK24" i="13"/>
  <c r="AK23" i="13"/>
  <c r="AK14" i="13"/>
  <c r="AK13" i="13"/>
  <c r="AK5" i="13"/>
  <c r="AG29" i="13"/>
  <c r="AE29" i="13"/>
  <c r="AD29" i="13"/>
  <c r="AB29" i="13"/>
  <c r="AA29" i="13"/>
  <c r="M42" i="10"/>
  <c r="X42" i="10" s="1"/>
  <c r="M41" i="10"/>
  <c r="X41" i="10" s="1"/>
  <c r="M40" i="10"/>
  <c r="X40" i="10" s="1"/>
  <c r="M39" i="10"/>
  <c r="X39" i="10" s="1"/>
  <c r="M38" i="10"/>
  <c r="X38" i="10" s="1"/>
  <c r="M37" i="10"/>
  <c r="X37" i="10" s="1"/>
  <c r="M36" i="10"/>
  <c r="X36" i="10"/>
  <c r="M35" i="10"/>
  <c r="X35" i="10" s="1"/>
  <c r="M34" i="10"/>
  <c r="X34" i="10" s="1"/>
  <c r="M33" i="10"/>
  <c r="X33" i="10" s="1"/>
  <c r="M17" i="10"/>
  <c r="Y17" i="10" s="1"/>
  <c r="M31" i="10"/>
  <c r="X31" i="10" s="1"/>
  <c r="M26" i="10"/>
  <c r="X26" i="10" s="1"/>
  <c r="M25" i="10"/>
  <c r="X25" i="10" s="1"/>
  <c r="M24" i="10"/>
  <c r="X24" i="10" s="1"/>
  <c r="M22" i="10"/>
  <c r="X22" i="10" s="1"/>
  <c r="M18" i="10"/>
  <c r="X18" i="10" s="1"/>
  <c r="M20" i="10"/>
  <c r="W20" i="10" s="1"/>
  <c r="W54" i="10" s="1"/>
  <c r="M15" i="10"/>
  <c r="Y15" i="10" s="1"/>
  <c r="M12" i="10"/>
  <c r="M11" i="10"/>
  <c r="S11" i="10" s="1"/>
  <c r="S54" i="10" s="1"/>
  <c r="M10" i="10"/>
  <c r="M9" i="10"/>
  <c r="M6" i="10"/>
  <c r="V6" i="10" s="1"/>
  <c r="M5" i="10"/>
  <c r="T5" i="10"/>
  <c r="M7" i="10"/>
  <c r="T7" i="10" s="1"/>
  <c r="Z7" i="10" s="1"/>
  <c r="U29" i="13"/>
  <c r="Y29" i="13"/>
  <c r="X29" i="13"/>
  <c r="R29" i="13"/>
  <c r="P29" i="13"/>
  <c r="O29" i="13"/>
  <c r="V29" i="13"/>
  <c r="V64" i="14"/>
  <c r="E62" i="14"/>
  <c r="X64" i="14"/>
  <c r="J29" i="13"/>
  <c r="B29" i="13"/>
  <c r="L29" i="13"/>
  <c r="M19" i="10"/>
  <c r="U19" i="10" s="1"/>
  <c r="U54" i="10" s="1"/>
  <c r="U56" i="10" s="1"/>
  <c r="M45" i="10"/>
  <c r="X45" i="10" s="1"/>
  <c r="U55" i="10"/>
  <c r="S29" i="13"/>
  <c r="I13" i="10"/>
  <c r="M21" i="10"/>
  <c r="X21" i="10" s="1"/>
  <c r="AL8" i="13"/>
  <c r="M23" i="10" l="1"/>
  <c r="X23" i="10" s="1"/>
  <c r="C62" i="14"/>
  <c r="B62" i="14"/>
  <c r="AE5" i="14"/>
  <c r="AK16" i="13"/>
  <c r="M62" i="14"/>
  <c r="J62" i="14"/>
  <c r="AB64" i="14"/>
  <c r="B13" i="10"/>
  <c r="D13" i="10"/>
  <c r="D29" i="13"/>
  <c r="E15" i="13"/>
  <c r="H15" i="13" s="1"/>
  <c r="K15" i="13" s="1"/>
  <c r="N15" i="13" s="1"/>
  <c r="Q15" i="13" s="1"/>
  <c r="T15" i="13" s="1"/>
  <c r="W15" i="13" s="1"/>
  <c r="Z15" i="13" s="1"/>
  <c r="AC15" i="13" s="1"/>
  <c r="AF15" i="13" s="1"/>
  <c r="AI15" i="13" s="1"/>
  <c r="F29" i="13"/>
  <c r="K23" i="13"/>
  <c r="N23" i="13" s="1"/>
  <c r="Q23" i="13" s="1"/>
  <c r="T23" i="13" s="1"/>
  <c r="W23" i="13" s="1"/>
  <c r="Z23" i="13" s="1"/>
  <c r="AC23" i="13" s="1"/>
  <c r="AF23" i="13" s="1"/>
  <c r="AI23" i="13" s="1"/>
  <c r="H7" i="13"/>
  <c r="K7" i="13" s="1"/>
  <c r="N7" i="13" s="1"/>
  <c r="Q7" i="13" s="1"/>
  <c r="T7" i="13" s="1"/>
  <c r="W7" i="13" s="1"/>
  <c r="Z7" i="13" s="1"/>
  <c r="AC7" i="13" s="1"/>
  <c r="AF7" i="13" s="1"/>
  <c r="AI7" i="13" s="1"/>
  <c r="K10" i="13"/>
  <c r="N10" i="13" s="1"/>
  <c r="Q10" i="13" s="1"/>
  <c r="T10" i="13" s="1"/>
  <c r="W10" i="13" s="1"/>
  <c r="Z10" i="13" s="1"/>
  <c r="AC10" i="13" s="1"/>
  <c r="AF10" i="13" s="1"/>
  <c r="AI10" i="13" s="1"/>
  <c r="C29" i="13"/>
  <c r="K6" i="13"/>
  <c r="N6" i="13" s="1"/>
  <c r="Q6" i="13" s="1"/>
  <c r="T6" i="13" s="1"/>
  <c r="W6" i="13" s="1"/>
  <c r="Z6" i="13" s="1"/>
  <c r="AC6" i="13" s="1"/>
  <c r="AF6" i="13" s="1"/>
  <c r="AI6" i="13" s="1"/>
  <c r="M29" i="13"/>
  <c r="H17" i="13"/>
  <c r="K17" i="13" s="1"/>
  <c r="N17" i="13" s="1"/>
  <c r="Q17" i="13" s="1"/>
  <c r="T17" i="13" s="1"/>
  <c r="W17" i="13" s="1"/>
  <c r="Z17" i="13" s="1"/>
  <c r="AC17" i="13" s="1"/>
  <c r="AF17" i="13" s="1"/>
  <c r="AI17" i="13" s="1"/>
  <c r="AK28" i="13"/>
  <c r="G29" i="13"/>
  <c r="I29" i="13"/>
  <c r="AK6" i="13"/>
  <c r="E28" i="13"/>
  <c r="H28" i="13" s="1"/>
  <c r="K28" i="13" s="1"/>
  <c r="N28" i="13" s="1"/>
  <c r="Q28" i="13" s="1"/>
  <c r="T28" i="13" s="1"/>
  <c r="W28" i="13" s="1"/>
  <c r="Z28" i="13" s="1"/>
  <c r="AC28" i="13" s="1"/>
  <c r="AF28" i="13" s="1"/>
  <c r="AI28" i="13" s="1"/>
  <c r="AL7" i="13"/>
  <c r="AL17" i="13"/>
  <c r="K16" i="13"/>
  <c r="N16" i="13" s="1"/>
  <c r="Q16" i="13" s="1"/>
  <c r="T16" i="13" s="1"/>
  <c r="W16" i="13" s="1"/>
  <c r="Z16" i="13" s="1"/>
  <c r="AC16" i="13" s="1"/>
  <c r="AF16" i="13" s="1"/>
  <c r="AI16" i="13" s="1"/>
  <c r="M60" i="10"/>
  <c r="M62" i="10" s="1"/>
  <c r="T54" i="10"/>
  <c r="R56" i="10" s="1"/>
  <c r="M3" i="10"/>
  <c r="R3" i="10" s="1"/>
  <c r="Z3" i="10" s="1"/>
  <c r="M13" i="10"/>
  <c r="P73" i="10"/>
  <c r="M4" i="10"/>
  <c r="R4" i="10" s="1"/>
  <c r="Z4" i="10" s="1"/>
  <c r="M53" i="10"/>
  <c r="X54" i="10"/>
  <c r="Y54" i="10"/>
  <c r="T5" i="13"/>
  <c r="Z6" i="10"/>
  <c r="V54" i="10"/>
  <c r="Z5" i="10"/>
  <c r="U64" i="14"/>
  <c r="AA64" i="14"/>
  <c r="P72" i="10"/>
  <c r="S62" i="14"/>
  <c r="S64" i="14"/>
  <c r="V62" i="14"/>
  <c r="H29" i="13"/>
  <c r="Z11" i="10"/>
  <c r="O62" i="14"/>
  <c r="U62" i="14"/>
  <c r="AE62" i="14" s="1"/>
  <c r="AF16" i="14" s="1"/>
  <c r="AK29" i="13" l="1"/>
  <c r="R55" i="10"/>
  <c r="P75" i="10"/>
  <c r="AL29" i="13"/>
  <c r="Q29" i="13"/>
  <c r="N29" i="13"/>
  <c r="K29" i="13"/>
  <c r="E29" i="13"/>
  <c r="R54" i="10"/>
  <c r="AF10" i="14"/>
  <c r="AF26" i="14"/>
  <c r="AF51" i="14"/>
  <c r="AF7" i="14"/>
  <c r="AF29" i="14"/>
  <c r="AF14" i="14"/>
  <c r="AF9" i="14"/>
  <c r="AF6" i="14"/>
  <c r="AF13" i="14"/>
  <c r="AF21" i="14"/>
  <c r="AF24" i="14"/>
  <c r="AF48" i="14"/>
  <c r="AF19" i="14"/>
  <c r="AF11" i="14"/>
  <c r="AF23" i="14"/>
  <c r="AF28" i="14"/>
  <c r="AF34" i="14"/>
  <c r="AF12" i="14"/>
  <c r="AF41" i="14"/>
  <c r="AF8" i="14"/>
  <c r="AF17" i="14"/>
  <c r="AF40" i="14"/>
  <c r="AF20" i="14"/>
  <c r="AF53" i="14"/>
  <c r="AF15" i="14"/>
  <c r="AF18" i="14"/>
  <c r="AE63" i="14"/>
  <c r="AF5" i="14"/>
  <c r="AE64" i="14"/>
  <c r="AF61" i="14"/>
  <c r="AF22" i="14"/>
  <c r="AF27" i="14"/>
  <c r="W5" i="13"/>
  <c r="T29" i="13"/>
  <c r="AF62" i="14" l="1"/>
  <c r="Z5" i="13"/>
  <c r="W29" i="13"/>
  <c r="AC5" i="13" l="1"/>
  <c r="Z29" i="13"/>
  <c r="AC29" i="13" l="1"/>
  <c r="AF5" i="13"/>
  <c r="AF29" i="13" l="1"/>
  <c r="AI5" i="13"/>
  <c r="AI29" i="13" s="1"/>
  <c r="P56" i="10" s="1"/>
  <c r="P64" i="10" s="1"/>
  <c r="M63" i="10" s="1"/>
  <c r="M65" i="10" s="1"/>
  <c r="P68" i="10" s="1"/>
</calcChain>
</file>

<file path=xl/comments1.xml><?xml version="1.0" encoding="utf-8"?>
<comments xmlns="http://schemas.openxmlformats.org/spreadsheetml/2006/main">
  <authors>
    <author>Tim Mirick</author>
  </authors>
  <commentList>
    <comment ref="X8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 donation from raffle winner</t>
        </r>
      </text>
    </comment>
    <comment ref="X10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500 donation from raffle winnings
</t>
        </r>
      </text>
    </comment>
    <comment ref="X21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donation from raffle winnings</t>
        </r>
      </text>
    </comment>
    <comment ref="X28" authorId="0" shapeId="0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donated from raffle winnings
</t>
        </r>
      </text>
    </comment>
  </commentList>
</comments>
</file>

<file path=xl/sharedStrings.xml><?xml version="1.0" encoding="utf-8"?>
<sst xmlns="http://schemas.openxmlformats.org/spreadsheetml/2006/main" count="2353" uniqueCount="1100">
  <si>
    <t>Team Accounts</t>
  </si>
  <si>
    <t>Sport</t>
  </si>
  <si>
    <t>Balance</t>
  </si>
  <si>
    <t>Baseball</t>
  </si>
  <si>
    <t>Cheer Squad</t>
  </si>
  <si>
    <t>Football</t>
  </si>
  <si>
    <t>Gymnastics</t>
  </si>
  <si>
    <t>Softball</t>
  </si>
  <si>
    <t>Volleyball</t>
  </si>
  <si>
    <t>Wrestling</t>
  </si>
  <si>
    <t>Total</t>
  </si>
  <si>
    <t>Income</t>
  </si>
  <si>
    <t>Expense</t>
  </si>
  <si>
    <t>Dance Team</t>
  </si>
  <si>
    <t>Cash In</t>
  </si>
  <si>
    <t>July-Aug</t>
  </si>
  <si>
    <t>Sept.</t>
  </si>
  <si>
    <t>Oct.</t>
  </si>
  <si>
    <t>Nov.</t>
  </si>
  <si>
    <t>Dec.</t>
  </si>
  <si>
    <t>Jan.</t>
  </si>
  <si>
    <t>Feb.</t>
  </si>
  <si>
    <t>March</t>
  </si>
  <si>
    <t>Apr.</t>
  </si>
  <si>
    <t>May</t>
  </si>
  <si>
    <t>June</t>
  </si>
  <si>
    <t>YTD</t>
  </si>
  <si>
    <t>Direct Donation</t>
  </si>
  <si>
    <t>Team Account Deposits</t>
  </si>
  <si>
    <t>Auction Tickets</t>
  </si>
  <si>
    <t>Auction Proceeds</t>
  </si>
  <si>
    <t>Rider Pride</t>
  </si>
  <si>
    <t>Uncashed checks voided</t>
  </si>
  <si>
    <t>CD Interest Earned</t>
  </si>
  <si>
    <t>CD Redemption</t>
  </si>
  <si>
    <t>Cash Out</t>
  </si>
  <si>
    <t>Administrative</t>
  </si>
  <si>
    <t>Auction Expense</t>
  </si>
  <si>
    <t>Sports Bus</t>
  </si>
  <si>
    <t>Fingerprinting</t>
  </si>
  <si>
    <t>CPR Training - Coaches</t>
  </si>
  <si>
    <t>JVC Coaches</t>
  </si>
  <si>
    <t>Trainer</t>
  </si>
  <si>
    <t>Account Summary</t>
  </si>
  <si>
    <t>Fund Encumbrances</t>
  </si>
  <si>
    <t>Expenses</t>
  </si>
  <si>
    <t>YTD Exp</t>
  </si>
  <si>
    <t>YTD Inc</t>
  </si>
  <si>
    <t>Year Start</t>
  </si>
  <si>
    <t>Activity July-Aug</t>
  </si>
  <si>
    <t>Activity September</t>
  </si>
  <si>
    <t>Activity October</t>
  </si>
  <si>
    <t>Activity November</t>
  </si>
  <si>
    <t>Activity December</t>
  </si>
  <si>
    <t>Activity January</t>
  </si>
  <si>
    <t>Activity February</t>
  </si>
  <si>
    <t>Activity March</t>
  </si>
  <si>
    <t>Activity April</t>
  </si>
  <si>
    <t>Activity May</t>
  </si>
  <si>
    <t>Total Cash</t>
  </si>
  <si>
    <t xml:space="preserve">    Encumbrances</t>
  </si>
  <si>
    <t>Total Available Cash</t>
  </si>
  <si>
    <t>Insurance</t>
  </si>
  <si>
    <t>Bank Charge</t>
  </si>
  <si>
    <t>Team Details</t>
  </si>
  <si>
    <t>20 pants</t>
  </si>
  <si>
    <t>20 jerseys</t>
  </si>
  <si>
    <t>15 JV jerseys ($276)</t>
  </si>
  <si>
    <t>10 JVC shirts ($195)</t>
  </si>
  <si>
    <t>jackets, 1345</t>
  </si>
  <si>
    <t>pants, 1175</t>
  </si>
  <si>
    <t>Uniforms, bats 1800</t>
  </si>
  <si>
    <t>bags, balls, screen 1221.75</t>
  </si>
  <si>
    <t>Basketball (M)</t>
  </si>
  <si>
    <t>15 warm-ups</t>
  </si>
  <si>
    <t>15 practice jerseys &amp; shooting shirts ($1100)</t>
  </si>
  <si>
    <t>15 jerseys &amp; shorts ($2000)</t>
  </si>
  <si>
    <t>3000 uniforms</t>
  </si>
  <si>
    <t>jerseys, 3777</t>
  </si>
  <si>
    <t>uniforms 3433.31</t>
  </si>
  <si>
    <t>Basketball (W)</t>
  </si>
  <si>
    <t>15 warm-up suits ($1542)</t>
  </si>
  <si>
    <t>15 jerseys &amp; shorts ($1493)</t>
  </si>
  <si>
    <t>14 tear-away pants ($639)</t>
  </si>
  <si>
    <t>2 sets (15) jerseys &amp; shorts; 15 shtg shrts &amp; warm-up pants</t>
  </si>
  <si>
    <t>jerseys, 703</t>
  </si>
  <si>
    <t>Uniforms 2000</t>
  </si>
  <si>
    <t>uniforms 2364.77</t>
  </si>
  <si>
    <t>Cheerleading</t>
  </si>
  <si>
    <t>14 jackets</t>
  </si>
  <si>
    <t>bears, 800</t>
  </si>
  <si>
    <t>Cheer, 800</t>
  </si>
  <si>
    <t>uniforms 2739.9</t>
  </si>
  <si>
    <t>uniforms 1440</t>
  </si>
  <si>
    <t>2000 coach</t>
  </si>
  <si>
    <t>Cross-country(W)</t>
  </si>
  <si>
    <t>20 full warm-up suits</t>
  </si>
  <si>
    <t>women warm-ups 937</t>
  </si>
  <si>
    <t>(w) uniforms 1264.33</t>
  </si>
  <si>
    <t>uniform 670.14</t>
  </si>
  <si>
    <t>Cross-country(M)</t>
  </si>
  <si>
    <t>uniform 612.10</t>
  </si>
  <si>
    <t>Dance</t>
  </si>
  <si>
    <t>field fee 380</t>
  </si>
  <si>
    <t>60 pants</t>
  </si>
  <si>
    <t>pants ($300) [Ed paid most]</t>
  </si>
  <si>
    <t>36 girdles,
48 mesh shirts</t>
  </si>
  <si>
    <t>pants $2310</t>
  </si>
  <si>
    <t>Jerseys $3400</t>
  </si>
  <si>
    <t>Pants&amp;jerseys, 4979</t>
  </si>
  <si>
    <t>Helmets, Reconditioning, 2594</t>
  </si>
  <si>
    <t>uniforms 3000</t>
  </si>
  <si>
    <t>uniforms 2827.6</t>
  </si>
  <si>
    <t>15 leotards</t>
  </si>
  <si>
    <t>20 warm-up suits ($1500)</t>
  </si>
  <si>
    <t>30 leotards ($661)</t>
  </si>
  <si>
    <t>leotards, 1583</t>
  </si>
  <si>
    <t>uniforms 202.01</t>
  </si>
  <si>
    <t>Lacrosse (M)</t>
  </si>
  <si>
    <t>uniform 2025</t>
  </si>
  <si>
    <t>Lacrosse (W)</t>
  </si>
  <si>
    <t>Field Fee 1145</t>
  </si>
  <si>
    <t>23 warm-up jackets ($922) [unisex?]</t>
  </si>
  <si>
    <t>22 shorts ($433)</t>
  </si>
  <si>
    <t>20 shorts,
40 pants,
2 goalie jerseys</t>
  </si>
  <si>
    <t>$1500, uniforms</t>
  </si>
  <si>
    <t>2027 warm-ups</t>
  </si>
  <si>
    <t>619 Jerseys</t>
  </si>
  <si>
    <t>uniforms 1510.24</t>
  </si>
  <si>
    <t>uniforms 2000</t>
  </si>
  <si>
    <t>warmup 1877.38</t>
  </si>
  <si>
    <t>3 jackets</t>
  </si>
  <si>
    <t>7 jerseys</t>
  </si>
  <si>
    <t>17 pants</t>
  </si>
  <si>
    <t>20 jerseys,
20 t-necks</t>
  </si>
  <si>
    <t>320 Turtlenecks 1490 Jackets</t>
  </si>
  <si>
    <t>uniforms 1220</t>
  </si>
  <si>
    <t>uniforms 1766.68</t>
  </si>
  <si>
    <t>Swimming(M)</t>
  </si>
  <si>
    <t>Swimming(W)</t>
  </si>
  <si>
    <t>warmups 40, $2600</t>
  </si>
  <si>
    <t>robes, 456 suits 508.34</t>
  </si>
  <si>
    <t>757 Jackets, women's</t>
  </si>
  <si>
    <t>state suits  182</t>
  </si>
  <si>
    <t>warm-ups 1,100</t>
  </si>
  <si>
    <t>warmup 1326</t>
  </si>
  <si>
    <t>Tennis</t>
  </si>
  <si>
    <t>12 unisex warm-ups</t>
  </si>
  <si>
    <t>Track(M)</t>
  </si>
  <si>
    <t>warmup 1338</t>
  </si>
  <si>
    <t>Track(W)</t>
  </si>
  <si>
    <t>15 JV shirts ($314)</t>
  </si>
  <si>
    <t>jerseys, 321</t>
  </si>
  <si>
    <t>Jerseys, 405</t>
  </si>
  <si>
    <t>warm-ups  1000</t>
  </si>
  <si>
    <t>jerseys 1068.96</t>
  </si>
  <si>
    <t>jerseys 794.24</t>
  </si>
  <si>
    <t>uniforms 794.24</t>
  </si>
  <si>
    <t>6 warm-ups &amp; jerseys</t>
  </si>
  <si>
    <t xml:space="preserve">40 full uniforms  + 
3 warm-ups </t>
  </si>
  <si>
    <t>home and away uniforms 464.88 residual 214.05</t>
  </si>
  <si>
    <t>1660.5 (warmups)</t>
  </si>
  <si>
    <t>15 tops/pants</t>
  </si>
  <si>
    <t>warmups, 1000</t>
  </si>
  <si>
    <t>head gear  297</t>
  </si>
  <si>
    <t>uniforms 1,154.45</t>
  </si>
  <si>
    <t>warmup 2157</t>
  </si>
  <si>
    <t>Water Polo (M)</t>
  </si>
  <si>
    <t xml:space="preserve">caps 572 </t>
  </si>
  <si>
    <t>Water Polo (W)</t>
  </si>
  <si>
    <t>1989-</t>
  </si>
  <si>
    <t>1990-</t>
  </si>
  <si>
    <t>1991-</t>
  </si>
  <si>
    <t>1992-</t>
  </si>
  <si>
    <t>1993-</t>
  </si>
  <si>
    <t>1994-</t>
  </si>
  <si>
    <t>1995-</t>
  </si>
  <si>
    <t>1996-</t>
  </si>
  <si>
    <t>1997-</t>
  </si>
  <si>
    <t>1998-</t>
  </si>
  <si>
    <t>1999-</t>
  </si>
  <si>
    <t>% of Total</t>
  </si>
  <si>
    <t>2008/2009</t>
  </si>
  <si>
    <t>2009/2010</t>
  </si>
  <si>
    <t>2010/2011</t>
  </si>
  <si>
    <t xml:space="preserve">   Baseball</t>
  </si>
  <si>
    <t>B</t>
  </si>
  <si>
    <t xml:space="preserve">   Basketball (M)</t>
  </si>
  <si>
    <t xml:space="preserve">   Basketball (W)</t>
  </si>
  <si>
    <t>G</t>
  </si>
  <si>
    <t xml:space="preserve">   Cross-country (M)</t>
  </si>
  <si>
    <t xml:space="preserve">   Cross-country (W)</t>
  </si>
  <si>
    <t xml:space="preserve">   Dance</t>
  </si>
  <si>
    <t xml:space="preserve">   Football</t>
  </si>
  <si>
    <t xml:space="preserve">   Golf</t>
  </si>
  <si>
    <t>B/G</t>
  </si>
  <si>
    <t xml:space="preserve">   Gymnastics</t>
  </si>
  <si>
    <t xml:space="preserve">   Soccer (M)</t>
  </si>
  <si>
    <t xml:space="preserve">   Soccer (W)</t>
  </si>
  <si>
    <t xml:space="preserve">   Softball</t>
  </si>
  <si>
    <t xml:space="preserve">   Swimming(M)</t>
  </si>
  <si>
    <t xml:space="preserve">   Swimming(W)</t>
  </si>
  <si>
    <t>1150.33*</t>
  </si>
  <si>
    <t xml:space="preserve">   Tennis</t>
  </si>
  <si>
    <t xml:space="preserve">   Track (M)</t>
  </si>
  <si>
    <t>375.00*</t>
  </si>
  <si>
    <t xml:space="preserve">   Track (W)</t>
  </si>
  <si>
    <t xml:space="preserve">   Volleyball</t>
  </si>
  <si>
    <t xml:space="preserve">   Wrestling</t>
  </si>
  <si>
    <t xml:space="preserve">   Cheer/Bears</t>
  </si>
  <si>
    <t xml:space="preserve">   Water Polo(M)</t>
  </si>
  <si>
    <t xml:space="preserve">   Water Polo(W)</t>
  </si>
  <si>
    <t xml:space="preserve">   Lacrosse(M)</t>
  </si>
  <si>
    <t xml:space="preserve">   Lacrosse (W)</t>
  </si>
  <si>
    <t>Miscellaneous</t>
  </si>
  <si>
    <t xml:space="preserve">   Equip - timing</t>
  </si>
  <si>
    <t xml:space="preserve">   Sports boosters</t>
  </si>
  <si>
    <t xml:space="preserve">   Cheer Squad</t>
  </si>
  <si>
    <t xml:space="preserve">   Weight Room</t>
  </si>
  <si>
    <t xml:space="preserve">   Ice Machine</t>
  </si>
  <si>
    <t xml:space="preserve">   Pep Club</t>
  </si>
  <si>
    <t xml:space="preserve">   PA System / Mic</t>
  </si>
  <si>
    <t xml:space="preserve">   Auction Expenses</t>
  </si>
  <si>
    <t xml:space="preserve">   Refunds</t>
  </si>
  <si>
    <t xml:space="preserve">   Rider Pride</t>
  </si>
  <si>
    <t xml:space="preserve">   Activity Phone</t>
  </si>
  <si>
    <t xml:space="preserve">   Concession Stand</t>
  </si>
  <si>
    <t xml:space="preserve">   Gym Updates</t>
  </si>
  <si>
    <t xml:space="preserve">   WSCA Dues</t>
  </si>
  <si>
    <t xml:space="preserve">   Video Cameras (2)</t>
  </si>
  <si>
    <t xml:space="preserve">   300 Gym Locks</t>
  </si>
  <si>
    <t xml:space="preserve">   CPR Training - Coaches</t>
  </si>
  <si>
    <t xml:space="preserve">   First Aid Training</t>
  </si>
  <si>
    <t xml:space="preserve">   Trainer Equip&amp;supp</t>
  </si>
  <si>
    <t>* = laptop computer for swimming &amp; track (50/50/split)</t>
  </si>
  <si>
    <t xml:space="preserve">   Trainer</t>
  </si>
  <si>
    <t xml:space="preserve">   Gym Banners</t>
  </si>
  <si>
    <t xml:space="preserve">   Fingerprinting</t>
  </si>
  <si>
    <t xml:space="preserve">   Padded Chairs</t>
  </si>
  <si>
    <t xml:space="preserve">   Tote Bins</t>
  </si>
  <si>
    <t xml:space="preserve">   Medical Kits</t>
  </si>
  <si>
    <t xml:space="preserve">   Defibrillators</t>
  </si>
  <si>
    <t xml:space="preserve">   Marching Band</t>
  </si>
  <si>
    <t xml:space="preserve">   Equipment Room</t>
  </si>
  <si>
    <t xml:space="preserve">   Clairn Chair Rack</t>
  </si>
  <si>
    <t xml:space="preserve">   Training Tables</t>
  </si>
  <si>
    <t xml:space="preserve">     Balance check</t>
  </si>
  <si>
    <t>2011/2012</t>
  </si>
  <si>
    <t>timing equip. 452</t>
  </si>
  <si>
    <t>Postage / P.O. box</t>
  </si>
  <si>
    <t>Mailing Address:</t>
  </si>
  <si>
    <t>Roosevelt Athletic Boosters</t>
  </si>
  <si>
    <t>jerseys 1071.38</t>
  </si>
  <si>
    <t>Trainer supplies (tape etc..)</t>
  </si>
  <si>
    <t>caps 477</t>
  </si>
  <si>
    <t>shorts/jerseys 1525</t>
  </si>
  <si>
    <t>uniform 1406.37, bats/belts 607</t>
  </si>
  <si>
    <t>uniforms 1337</t>
  </si>
  <si>
    <t>uniforms 858</t>
  </si>
  <si>
    <t>bats 700, uniforms 1350</t>
  </si>
  <si>
    <t>uniforms 2133.71, state tourney expenses 683</t>
  </si>
  <si>
    <t>uniforms 1500</t>
  </si>
  <si>
    <t>uniforms 1187, TC Scan 113</t>
  </si>
  <si>
    <t>Golf</t>
  </si>
  <si>
    <t>balls 750, equip 1200</t>
  </si>
  <si>
    <t>fees/expenses 1612</t>
  </si>
  <si>
    <t>floor 4000, uniforms 700</t>
  </si>
  <si>
    <t>uniforms 2400</t>
  </si>
  <si>
    <t>uniforms 2189.4</t>
  </si>
  <si>
    <t>uniforms 1068</t>
  </si>
  <si>
    <t>uniforms 2400.32</t>
  </si>
  <si>
    <t>uniforms 496.87</t>
  </si>
  <si>
    <t>pool fees, refs 1000, clock 1377</t>
  </si>
  <si>
    <t>clock 1377</t>
  </si>
  <si>
    <t>fees/refs 668</t>
  </si>
  <si>
    <t>equipment 1300</t>
  </si>
  <si>
    <t>jvc coach 2089</t>
  </si>
  <si>
    <t>uniforms 1503.3</t>
  </si>
  <si>
    <t>uniforms 2430.9</t>
  </si>
  <si>
    <t>towels 117</t>
  </si>
  <si>
    <t>balls &amp; nets 315</t>
  </si>
  <si>
    <t>Field Fee 1695</t>
  </si>
  <si>
    <t>Goal Keeper Coach 1170</t>
  </si>
  <si>
    <t>uniforms 1000</t>
  </si>
  <si>
    <t>uniforms 409, flip score 223</t>
  </si>
  <si>
    <t>League fees 500</t>
  </si>
  <si>
    <t>Soccer (M)</t>
  </si>
  <si>
    <t>Soccer (W)</t>
  </si>
  <si>
    <t>uniforms 1729.28</t>
  </si>
  <si>
    <t>uniforms 928.46, printing 47</t>
  </si>
  <si>
    <t>jerseys/pants 944.44 headsets/decals 596.64 HUDL Film 400 game filmer/stats 345/coaches clinic 187</t>
  </si>
  <si>
    <t>Field fee 556</t>
  </si>
  <si>
    <t>Hall of Fame plaques</t>
  </si>
  <si>
    <t>Email:</t>
  </si>
  <si>
    <t>RAB Expenditures by Sport</t>
  </si>
  <si>
    <t>* Includes amount spent from the general fund (team account expenditures not included)</t>
  </si>
  <si>
    <t>Auction Team Results</t>
  </si>
  <si>
    <t>pool fees 1424</t>
  </si>
  <si>
    <t>Ultimate</t>
  </si>
  <si>
    <t>tourn fees 195</t>
  </si>
  <si>
    <t>jv uniforms 1850</t>
  </si>
  <si>
    <t>uniforms 383.85</t>
  </si>
  <si>
    <t>Website:</t>
  </si>
  <si>
    <t>http://boosters.rhssports.org</t>
  </si>
  <si>
    <t>Concession Supplies / Permits</t>
  </si>
  <si>
    <t>uniforms 1664.4</t>
  </si>
  <si>
    <t>2012/2013</t>
  </si>
  <si>
    <t>singlets/shorts 716</t>
  </si>
  <si>
    <t>Tax (e.g. B&amp;O)</t>
  </si>
  <si>
    <t>3 year total by team</t>
  </si>
  <si>
    <t>shirts 374.32</t>
  </si>
  <si>
    <t>tourney fees 663</t>
  </si>
  <si>
    <t>uniforms 2710</t>
  </si>
  <si>
    <t>uniforms 4804</t>
  </si>
  <si>
    <t>shooting shirts 164</t>
  </si>
  <si>
    <t>Team Account Expenses</t>
  </si>
  <si>
    <t xml:space="preserve">   Ultimate</t>
  </si>
  <si>
    <t>laptop 92</t>
  </si>
  <si>
    <t>uniforms 662</t>
  </si>
  <si>
    <t>jerseys 368</t>
  </si>
  <si>
    <t>Ultimate Frisbee</t>
  </si>
  <si>
    <t>Field fee 1463</t>
  </si>
  <si>
    <t>tourney fees 150</t>
  </si>
  <si>
    <t>License fees</t>
  </si>
  <si>
    <t>balls 60, bat cages 660</t>
  </si>
  <si>
    <t>6b</t>
  </si>
  <si>
    <t>6c</t>
  </si>
  <si>
    <t>7a</t>
  </si>
  <si>
    <t>7b</t>
  </si>
  <si>
    <t>Sched A, 2</t>
  </si>
  <si>
    <t>Sched G, 1</t>
  </si>
  <si>
    <t>Sch G, 2</t>
  </si>
  <si>
    <t>Sch G, 9</t>
  </si>
  <si>
    <t>2013/2014</t>
  </si>
  <si>
    <t>Pool Fee 1500</t>
  </si>
  <si>
    <t>Checks</t>
  </si>
  <si>
    <t>Secretary of State</t>
  </si>
  <si>
    <t>Seattle Parks &amp; Rec</t>
  </si>
  <si>
    <t>Matt Nelson</t>
  </si>
  <si>
    <t>Kimmel</t>
  </si>
  <si>
    <t>3GI Sports</t>
  </si>
  <si>
    <t>G&amp;H Printing</t>
  </si>
  <si>
    <t>Donna Jornlin</t>
  </si>
  <si>
    <t>Healy Awards</t>
  </si>
  <si>
    <t>Medco</t>
  </si>
  <si>
    <t>H&amp;L Sports</t>
  </si>
  <si>
    <t>Sporthaus Schmetzer</t>
  </si>
  <si>
    <t>National Achiever Services</t>
  </si>
  <si>
    <t>Tom Lambright</t>
  </si>
  <si>
    <t>Roosevelt ASB</t>
  </si>
  <si>
    <t>Hedgehog Graphics</t>
  </si>
  <si>
    <t>School Art Materials</t>
  </si>
  <si>
    <t>Steve Wolfe</t>
  </si>
  <si>
    <t>Seattle Childrens</t>
  </si>
  <si>
    <t>Gerry Hall</t>
  </si>
  <si>
    <t>Bob Curly</t>
  </si>
  <si>
    <t>Void</t>
  </si>
  <si>
    <t>AHA CPR/AED/First Aid Training</t>
  </si>
  <si>
    <t>Baseball graphics</t>
  </si>
  <si>
    <t>Lacross helmets</t>
  </si>
  <si>
    <t>carrying case</t>
  </si>
  <si>
    <t>office supplies</t>
  </si>
  <si>
    <t>license renewal</t>
  </si>
  <si>
    <t>pool rental</t>
  </si>
  <si>
    <t>online video editing/coaching tools</t>
  </si>
  <si>
    <t>football dummies</t>
  </si>
  <si>
    <t>hats</t>
  </si>
  <si>
    <t>football programs</t>
  </si>
  <si>
    <t>girls x-country camp</t>
  </si>
  <si>
    <t>helmet decals</t>
  </si>
  <si>
    <t>coach tape</t>
  </si>
  <si>
    <t>x-country uniforms</t>
  </si>
  <si>
    <t>soccer uniforms</t>
  </si>
  <si>
    <t>football nameplates</t>
  </si>
  <si>
    <t>team sweatshirts</t>
  </si>
  <si>
    <t>tennis court rental</t>
  </si>
  <si>
    <t>sidelines</t>
  </si>
  <si>
    <t>football program ads &amp; layout</t>
  </si>
  <si>
    <t>golf shirts</t>
  </si>
  <si>
    <t>football shirts</t>
  </si>
  <si>
    <t>BBQ supplies &amp; T shirts</t>
  </si>
  <si>
    <t>boys x-country</t>
  </si>
  <si>
    <t>football</t>
  </si>
  <si>
    <t>boys golf</t>
  </si>
  <si>
    <t>girls soccer</t>
  </si>
  <si>
    <t>RAB</t>
  </si>
  <si>
    <t>girls x-country</t>
  </si>
  <si>
    <t>lacrosse</t>
  </si>
  <si>
    <t>baseball</t>
  </si>
  <si>
    <t>Check #</t>
  </si>
  <si>
    <t>Date</t>
  </si>
  <si>
    <t>Check Name</t>
  </si>
  <si>
    <t>Amount</t>
  </si>
  <si>
    <t>Description</t>
  </si>
  <si>
    <t>Payment by</t>
  </si>
  <si>
    <t>Sport Name</t>
  </si>
  <si>
    <t>Uniforms 836</t>
  </si>
  <si>
    <t>football shirts - Emerald City Classic</t>
  </si>
  <si>
    <t>Court 3600</t>
  </si>
  <si>
    <t>Check that have Cleared</t>
  </si>
  <si>
    <t>Greater Giving</t>
  </si>
  <si>
    <t>auction</t>
  </si>
  <si>
    <t>girls x-country assitant coach</t>
  </si>
  <si>
    <t>t-shirts</t>
  </si>
  <si>
    <t>3 GI Sports</t>
  </si>
  <si>
    <t>hats towels</t>
  </si>
  <si>
    <t>golf</t>
  </si>
  <si>
    <t>Lynn Cohee</t>
  </si>
  <si>
    <t>coach gift cards</t>
  </si>
  <si>
    <t>pizza</t>
  </si>
  <si>
    <t>Rene Huie</t>
  </si>
  <si>
    <t>pops ice plates</t>
  </si>
  <si>
    <t>volley ball</t>
  </si>
  <si>
    <t>volleyball tournament</t>
  </si>
  <si>
    <t>Glacier Peak VB Boosters</t>
  </si>
  <si>
    <t>photo's</t>
  </si>
  <si>
    <t>Elizabeth Hawkinson</t>
  </si>
  <si>
    <t>senior night</t>
  </si>
  <si>
    <t>BA Bank Fee</t>
  </si>
  <si>
    <t>processing fee</t>
  </si>
  <si>
    <t>BANK</t>
  </si>
  <si>
    <t>greg@blumecompany.com</t>
  </si>
  <si>
    <t>CD Transfer</t>
  </si>
  <si>
    <t>Certificates of Deposit</t>
  </si>
  <si>
    <t>WTB</t>
  </si>
  <si>
    <t>Sharon Rodgers</t>
  </si>
  <si>
    <t>Sandra Kaestle</t>
  </si>
  <si>
    <t>City of Seattle</t>
  </si>
  <si>
    <t>Paula Blume</t>
  </si>
  <si>
    <t>Jacque Ives</t>
  </si>
  <si>
    <t>Gavelo Live</t>
  </si>
  <si>
    <t>Wa State Gambling</t>
  </si>
  <si>
    <t>Julie Mueller</t>
  </si>
  <si>
    <t>socks</t>
  </si>
  <si>
    <t>pants</t>
  </si>
  <si>
    <t>business license</t>
  </si>
  <si>
    <t>auction wine</t>
  </si>
  <si>
    <t>checks</t>
  </si>
  <si>
    <t>license</t>
  </si>
  <si>
    <t>jerseys &amp; shorts</t>
  </si>
  <si>
    <t>batteries</t>
  </si>
  <si>
    <t>auctioneer deposit</t>
  </si>
  <si>
    <t>Jeri Smith</t>
  </si>
  <si>
    <t>Pam Cohen</t>
  </si>
  <si>
    <t>Katrina Moon</t>
  </si>
  <si>
    <t>uniforms</t>
  </si>
  <si>
    <t>boys tennis</t>
  </si>
  <si>
    <t>boys swim</t>
  </si>
  <si>
    <t>UPS Store</t>
  </si>
  <si>
    <t>Mountaineers</t>
  </si>
  <si>
    <t>Mary Lasley</t>
  </si>
  <si>
    <t>Greg Blume</t>
  </si>
  <si>
    <t>mail box</t>
  </si>
  <si>
    <t>auction deposit</t>
  </si>
  <si>
    <t>towels &amp; candy</t>
  </si>
  <si>
    <t>singlets</t>
  </si>
  <si>
    <t>wrestling</t>
  </si>
  <si>
    <t>auction online Annual Fee 5yr</t>
  </si>
  <si>
    <t>Alaska Air auction</t>
  </si>
  <si>
    <t>football clinic</t>
  </si>
  <si>
    <t>Uni 300 BQ</t>
  </si>
  <si>
    <t>CPR $140 Video $728 Dummies $2171 Medco $1186</t>
  </si>
  <si>
    <t>auction decorations</t>
  </si>
  <si>
    <t>Mountain Sound, Inc</t>
  </si>
  <si>
    <t>DiscNW</t>
  </si>
  <si>
    <t xml:space="preserve">auctioneer </t>
  </si>
  <si>
    <t>auction sound system</t>
  </si>
  <si>
    <t>spring league</t>
  </si>
  <si>
    <t>ultimate frisbee</t>
  </si>
  <si>
    <t>Stephane Nefner</t>
  </si>
  <si>
    <t>Scott Lasley</t>
  </si>
  <si>
    <t>BA Visa</t>
  </si>
  <si>
    <t>Colleen Ritchy</t>
  </si>
  <si>
    <t>Mancia Nene Catering</t>
  </si>
  <si>
    <t>Janice Merlino</t>
  </si>
  <si>
    <t>Julia Marconi</t>
  </si>
  <si>
    <t>WA State DOR</t>
  </si>
  <si>
    <t>Sue's Stuff</t>
  </si>
  <si>
    <t>Katie Klein</t>
  </si>
  <si>
    <t>Awards Service Inc</t>
  </si>
  <si>
    <t>auction plates cups napkins</t>
  </si>
  <si>
    <t>auction supplies</t>
  </si>
  <si>
    <t>concession expenses</t>
  </si>
  <si>
    <t>auction pizza &amp; pops</t>
  </si>
  <si>
    <t>jerseys, shorts &amp; warmups</t>
  </si>
  <si>
    <t>men B-Ball</t>
  </si>
  <si>
    <t>auction caterer</t>
  </si>
  <si>
    <t>Auction glassware</t>
  </si>
  <si>
    <t>Sales &amp; Excise Tax</t>
  </si>
  <si>
    <t>boys swim/dive</t>
  </si>
  <si>
    <t>cake</t>
  </si>
  <si>
    <t>practice shorst 757 uniforms 675</t>
  </si>
  <si>
    <t>Chris Holland</t>
  </si>
  <si>
    <t>caps, gear &amp; breakfast</t>
  </si>
  <si>
    <t>UPS</t>
  </si>
  <si>
    <t>Field League &amp; equip $1371</t>
  </si>
  <si>
    <t>Gerry Miller</t>
  </si>
  <si>
    <t>NW Grapics</t>
  </si>
  <si>
    <t>Jim Lyle</t>
  </si>
  <si>
    <t>Chip Painter</t>
  </si>
  <si>
    <t>Protime Sports</t>
  </si>
  <si>
    <t>Schmetzer's Sporthaus</t>
  </si>
  <si>
    <t>soccer balls</t>
  </si>
  <si>
    <t>men soccer</t>
  </si>
  <si>
    <t>assessment</t>
  </si>
  <si>
    <t>jacket, pants &amp; socks</t>
  </si>
  <si>
    <t>polo shirts</t>
  </si>
  <si>
    <t>girls lacrosse</t>
  </si>
  <si>
    <t>association fees</t>
  </si>
  <si>
    <t>shorts shin guards balls</t>
  </si>
  <si>
    <t>jacket &amp; pants</t>
  </si>
  <si>
    <t>shirts</t>
  </si>
  <si>
    <t>softball</t>
  </si>
  <si>
    <t>mustle rope</t>
  </si>
  <si>
    <t>Uniforms $974</t>
  </si>
  <si>
    <t>Kevin Hall</t>
  </si>
  <si>
    <t>Kinko 4A</t>
  </si>
  <si>
    <t>Jim Neff</t>
  </si>
  <si>
    <t>finger prints</t>
  </si>
  <si>
    <t>Kim Clarice</t>
  </si>
  <si>
    <t>statistics</t>
  </si>
  <si>
    <t>coach shirts</t>
  </si>
  <si>
    <t>travel expense</t>
  </si>
  <si>
    <t>boys track</t>
  </si>
  <si>
    <t>Sandy Ringer</t>
  </si>
  <si>
    <t>softball statistics 2013</t>
  </si>
  <si>
    <t>softball statistics 2014</t>
  </si>
  <si>
    <t>Roosevelt High School</t>
  </si>
  <si>
    <t>Penny Swanson</t>
  </si>
  <si>
    <t>Jacob Campbell</t>
  </si>
  <si>
    <t>girls track</t>
  </si>
  <si>
    <t>trainer</t>
  </si>
  <si>
    <t>Kirstan Wyser</t>
  </si>
  <si>
    <t>tournament fees</t>
  </si>
  <si>
    <t>Ulitmate Frisbee</t>
  </si>
  <si>
    <t>uniiforms 3903</t>
  </si>
  <si>
    <t>ASB Girls Cross Country</t>
  </si>
  <si>
    <t>Kelly Taylor</t>
  </si>
  <si>
    <t>Gary Hunter</t>
  </si>
  <si>
    <t>summer trainer 2013</t>
  </si>
  <si>
    <t>cross country</t>
  </si>
  <si>
    <t>coach expense</t>
  </si>
  <si>
    <t>soccer expense</t>
  </si>
  <si>
    <t>fund ASB account deficit</t>
  </si>
  <si>
    <t>Ngaire Taylor</t>
  </si>
  <si>
    <t>Leslie Fox</t>
  </si>
  <si>
    <t>Soundview Insurance</t>
  </si>
  <si>
    <t>insurance</t>
  </si>
  <si>
    <t>tee shirts</t>
  </si>
  <si>
    <t>boys soccer</t>
  </si>
  <si>
    <t>gift cards</t>
  </si>
  <si>
    <t>rider clasic refere's</t>
  </si>
  <si>
    <t>boys basketball</t>
  </si>
  <si>
    <t>negative balance</t>
  </si>
  <si>
    <t>League fee</t>
  </si>
  <si>
    <t>Checking Beginning Balance</t>
  </si>
  <si>
    <t>Checking Ending Balance</t>
  </si>
  <si>
    <t>Thomas Plunkett</t>
  </si>
  <si>
    <t>Bachman Dist</t>
  </si>
  <si>
    <t>Leonard Smith</t>
  </si>
  <si>
    <t>milk</t>
  </si>
  <si>
    <t>boys water polo</t>
  </si>
  <si>
    <t>dance</t>
  </si>
  <si>
    <t>girls tennis</t>
  </si>
  <si>
    <t>coach</t>
  </si>
  <si>
    <t>Activity June</t>
  </si>
  <si>
    <t>Andy Anthony</t>
  </si>
  <si>
    <t>Renee Ruhl</t>
  </si>
  <si>
    <t>trainer athletic supplies - Medco</t>
  </si>
  <si>
    <t>Kerry Holifield</t>
  </si>
  <si>
    <t>2014/2015</t>
  </si>
  <si>
    <t>void</t>
  </si>
  <si>
    <t>Joe Bennion</t>
  </si>
  <si>
    <t>football supplies</t>
  </si>
  <si>
    <t>Julie Tsunusaki</t>
  </si>
  <si>
    <t>CPR</t>
  </si>
  <si>
    <t>basketball reimbursement</t>
  </si>
  <si>
    <t>Ron Bourivik</t>
  </si>
  <si>
    <t>Sec State renewal, keys, office stuff</t>
  </si>
  <si>
    <t>dinner</t>
  </si>
  <si>
    <t>Andy Houston</t>
  </si>
  <si>
    <t>retirement plaque</t>
  </si>
  <si>
    <t>shorts</t>
  </si>
  <si>
    <t>DB Volleyball Camps, LLC</t>
  </si>
  <si>
    <t>camp fee Moscow Idaho</t>
  </si>
  <si>
    <t>video coaching tools</t>
  </si>
  <si>
    <t>shorts &amp; jearsys</t>
  </si>
  <si>
    <t>golf shirt embroidery</t>
  </si>
  <si>
    <t>coed golf</t>
  </si>
  <si>
    <t>Elizabeth Roots</t>
  </si>
  <si>
    <t>CustomInk</t>
  </si>
  <si>
    <t>Terri Smith</t>
  </si>
  <si>
    <t>headset shipping</t>
  </si>
  <si>
    <t>Chirs Subia</t>
  </si>
  <si>
    <t>Duncan Sherrard</t>
  </si>
  <si>
    <t>Susan Michaels - Misc Thang</t>
  </si>
  <si>
    <t>shorts &amp; jackets</t>
  </si>
  <si>
    <t xml:space="preserve">program design </t>
  </si>
  <si>
    <t>Uniforms $1543</t>
  </si>
  <si>
    <t>shirts&amp;hats $727</t>
  </si>
  <si>
    <t>Gail Alverson</t>
  </si>
  <si>
    <t>Liz Swisher &amp; R. Larson</t>
  </si>
  <si>
    <t>Scott Peterson</t>
  </si>
  <si>
    <t>Francie Jajewski</t>
  </si>
  <si>
    <t>Master T's Trophies</t>
  </si>
  <si>
    <t>Bank of America Visa</t>
  </si>
  <si>
    <t>Auciton Deposits Burke &amp; Veraci</t>
  </si>
  <si>
    <t>SPU game &amp; goalie jerseys</t>
  </si>
  <si>
    <t>Auction remibrusement error</t>
  </si>
  <si>
    <t>wireless PA</t>
  </si>
  <si>
    <t>circle award markers</t>
  </si>
  <si>
    <t>raffle license</t>
  </si>
  <si>
    <t>uniform singlets</t>
  </si>
  <si>
    <t>auction rental fee Feb 2014</t>
  </si>
  <si>
    <t>raffle ticket expense</t>
  </si>
  <si>
    <t>boys &amp; girls golf</t>
  </si>
  <si>
    <t>trophies</t>
  </si>
  <si>
    <t>jackets</t>
  </si>
  <si>
    <t>Uniform $1,847.82</t>
  </si>
  <si>
    <t>singlets $781.29</t>
  </si>
  <si>
    <t>Porta Phone</t>
  </si>
  <si>
    <t>Linda Norstrom</t>
  </si>
  <si>
    <t>Erik Oman Coaching</t>
  </si>
  <si>
    <t>Gavelo</t>
  </si>
  <si>
    <t>dugout jacket</t>
  </si>
  <si>
    <t>roconditioning of coach headsets</t>
  </si>
  <si>
    <t>volleyball party</t>
  </si>
  <si>
    <t>Uniforms $997.14</t>
  </si>
  <si>
    <t>annual license</t>
  </si>
  <si>
    <t>Kai Hoyt</t>
  </si>
  <si>
    <t>swimm boards</t>
  </si>
  <si>
    <t>Stephanie Joss</t>
  </si>
  <si>
    <t>Jerry Miller</t>
  </si>
  <si>
    <t>baseball hats</t>
  </si>
  <si>
    <t>consessions</t>
  </si>
  <si>
    <t>yearend banquet</t>
  </si>
  <si>
    <t>hats for auction</t>
  </si>
  <si>
    <t>glassware - auction</t>
  </si>
  <si>
    <t>team photo's</t>
  </si>
  <si>
    <t>pink pom &amp; black out uniforms</t>
  </si>
  <si>
    <t>cheer</t>
  </si>
  <si>
    <t>yearend banquet &amp; senior gifts</t>
  </si>
  <si>
    <t>Uniforms Poms $898</t>
  </si>
  <si>
    <t>Patterson Medical Supply</t>
  </si>
  <si>
    <t>training bike</t>
  </si>
  <si>
    <t>throwback jerseys</t>
  </si>
  <si>
    <t>senior gifts</t>
  </si>
  <si>
    <t>boy's swimming</t>
  </si>
  <si>
    <t>ASB Volleyball</t>
  </si>
  <si>
    <t>Max Rose</t>
  </si>
  <si>
    <t>excise tax</t>
  </si>
  <si>
    <t>Dept of Revenue</t>
  </si>
  <si>
    <t>Confectionary</t>
  </si>
  <si>
    <t>candy for auction</t>
  </si>
  <si>
    <t>Uniforms $2,250</t>
  </si>
  <si>
    <t>Encumbered Fund %</t>
  </si>
  <si>
    <t>Roosevelt Jazz Boosters</t>
  </si>
  <si>
    <t>jazz band for auction</t>
  </si>
  <si>
    <t>Gavelo Auctions</t>
  </si>
  <si>
    <t>Janet Kimball</t>
  </si>
  <si>
    <t>Kerri Johnson</t>
  </si>
  <si>
    <t>Laura Nicholson</t>
  </si>
  <si>
    <t>Teri Matz</t>
  </si>
  <si>
    <t>Vicki Carey</t>
  </si>
  <si>
    <t>Actn, Pz, Burke, Décor, Rnt, Lic</t>
  </si>
  <si>
    <t>Auction</t>
  </si>
  <si>
    <t>boys lacrosse</t>
  </si>
  <si>
    <t>auction acutioneer</t>
  </si>
  <si>
    <t>auction raffle</t>
  </si>
  <si>
    <t>uniformas</t>
  </si>
  <si>
    <t>auction plaques &amp; gifts</t>
  </si>
  <si>
    <t>breakfas after 100-100's</t>
  </si>
  <si>
    <t>coach jackets</t>
  </si>
  <si>
    <t>Seine Chiang</t>
  </si>
  <si>
    <t>met market &amp; balloons</t>
  </si>
  <si>
    <t>Boy &amp; Girl B-Ball</t>
  </si>
  <si>
    <t>ASB funding</t>
  </si>
  <si>
    <t>girls X country</t>
  </si>
  <si>
    <t>boy B-Ball</t>
  </si>
  <si>
    <t>Jennifer Hansler</t>
  </si>
  <si>
    <t>Charlotte Wayte</t>
  </si>
  <si>
    <t>Mike D'Albora</t>
  </si>
  <si>
    <t>Norwest Graphics</t>
  </si>
  <si>
    <t>jersey's &amp; socks</t>
  </si>
  <si>
    <t>Jamie K. Weaver</t>
  </si>
  <si>
    <t>Jeffrey L. Grose</t>
  </si>
  <si>
    <t>game pants $538</t>
  </si>
  <si>
    <t>Valentin Lutenko</t>
  </si>
  <si>
    <t>fee reimbursement</t>
  </si>
  <si>
    <t>jersey &amp; shorts</t>
  </si>
  <si>
    <t>official</t>
  </si>
  <si>
    <t>softball pants</t>
  </si>
  <si>
    <t>first aid &amp; supplies</t>
  </si>
  <si>
    <t>Julie Jones</t>
  </si>
  <si>
    <t>Joice Denend</t>
  </si>
  <si>
    <t>sweatshirt</t>
  </si>
  <si>
    <t>softballs</t>
  </si>
  <si>
    <t>shirts &amp; hats</t>
  </si>
  <si>
    <t>cinch bags</t>
  </si>
  <si>
    <t>supplies</t>
  </si>
  <si>
    <t>Field &amp; Reg Fee's</t>
  </si>
  <si>
    <t>RAB - Girls Lacrosse</t>
  </si>
  <si>
    <t>ADJ</t>
  </si>
  <si>
    <t>ASB - Baseball</t>
  </si>
  <si>
    <t>Super Jock n Jill</t>
  </si>
  <si>
    <t>Roosevelt Baseball Club</t>
  </si>
  <si>
    <t>Throwback Jersey 773 Bating Cage 1297</t>
  </si>
  <si>
    <t>Elizabeth Swisher</t>
  </si>
  <si>
    <t>Karen Woo</t>
  </si>
  <si>
    <t>Sheila Klein</t>
  </si>
  <si>
    <t>Museum Resources</t>
  </si>
  <si>
    <t>singlets &amp; shorts</t>
  </si>
  <si>
    <t>cage time</t>
  </si>
  <si>
    <t xml:space="preserve">coach gift </t>
  </si>
  <si>
    <t>coach gift</t>
  </si>
  <si>
    <t>Field/Reg Fee's</t>
  </si>
  <si>
    <t>Ann Moore</t>
  </si>
  <si>
    <t>Wendy Rogerson</t>
  </si>
  <si>
    <t>GTM</t>
  </si>
  <si>
    <t>pants and jackets</t>
  </si>
  <si>
    <t xml:space="preserve">playoff game Vancouver </t>
  </si>
  <si>
    <t>referee fees</t>
  </si>
  <si>
    <t>singlets $246.43 pants &amp; jackets 698.7</t>
  </si>
  <si>
    <t>uniforms $719.36 Balls $617</t>
  </si>
  <si>
    <t>summer insurance</t>
  </si>
  <si>
    <t>volleyballs</t>
  </si>
  <si>
    <t>Uniforms $337 $1769</t>
  </si>
  <si>
    <t>Jeff Haven</t>
  </si>
  <si>
    <t>n/a</t>
  </si>
  <si>
    <t>Mike Comiskey</t>
  </si>
  <si>
    <t>Steve Whitaker</t>
  </si>
  <si>
    <t>TC Span America</t>
  </si>
  <si>
    <t>RHS ASB</t>
  </si>
  <si>
    <t>boys &amp; girls track</t>
  </si>
  <si>
    <t>Void Lost Check</t>
  </si>
  <si>
    <t>boys &amp; girls tennis</t>
  </si>
  <si>
    <t>league fee's</t>
  </si>
  <si>
    <t>lost check #5223 Replacement</t>
  </si>
  <si>
    <t>coaches gifts</t>
  </si>
  <si>
    <t>volleyball camp</t>
  </si>
  <si>
    <t>screenprinting</t>
  </si>
  <si>
    <t>2015/2016</t>
  </si>
  <si>
    <t>Eastbay Team Sales</t>
  </si>
  <si>
    <t>Darrel Montzingo</t>
  </si>
  <si>
    <t>retreat</t>
  </si>
  <si>
    <t>printing</t>
  </si>
  <si>
    <t>tee times</t>
  </si>
  <si>
    <t>hats &amp; shirts</t>
  </si>
  <si>
    <t>Jackson Prk GC</t>
  </si>
  <si>
    <t>Greg Gordan</t>
  </si>
  <si>
    <t>Doug Jones</t>
  </si>
  <si>
    <t>Brian McCully</t>
  </si>
  <si>
    <t>Absolute Fitness</t>
  </si>
  <si>
    <t>Brandon Brouns</t>
  </si>
  <si>
    <t>Jeff Tracy</t>
  </si>
  <si>
    <t>Will Miller</t>
  </si>
  <si>
    <t>sweats</t>
  </si>
  <si>
    <t>floating goal</t>
  </si>
  <si>
    <t>water polo</t>
  </si>
  <si>
    <t>team training</t>
  </si>
  <si>
    <t>ferry</t>
  </si>
  <si>
    <t>coaching</t>
  </si>
  <si>
    <t>Reg Fee's 1350</t>
  </si>
  <si>
    <t>uniforms 1524</t>
  </si>
  <si>
    <t>SoldbyJulie</t>
  </si>
  <si>
    <t>Amelia Roseta</t>
  </si>
  <si>
    <t>Frank Fulton</t>
  </si>
  <si>
    <t>registration fees</t>
  </si>
  <si>
    <t>pracitice &amp; supplies</t>
  </si>
  <si>
    <t>soap</t>
  </si>
  <si>
    <t>swim caps</t>
  </si>
  <si>
    <t>yearend party</t>
  </si>
  <si>
    <t>Hillary Bowen</t>
  </si>
  <si>
    <t>Sara Towner</t>
  </si>
  <si>
    <t>Kelly Kajumuco</t>
  </si>
  <si>
    <t>Burke Museum</t>
  </si>
  <si>
    <t>Cami Johnson</t>
  </si>
  <si>
    <t>WSGC</t>
  </si>
  <si>
    <t>Amy Kelsey</t>
  </si>
  <si>
    <t>airfair &amp; conf fee's</t>
  </si>
  <si>
    <t>coach gifts</t>
  </si>
  <si>
    <t>gambling license</t>
  </si>
  <si>
    <t>Auction Raffle</t>
  </si>
  <si>
    <t>Jason Thomas</t>
  </si>
  <si>
    <t>Roughrider Baseball Club</t>
  </si>
  <si>
    <t>bags/jackets 2724 &amp; batting cage 1425</t>
  </si>
  <si>
    <t>Doug Isler</t>
  </si>
  <si>
    <t>AJE</t>
  </si>
  <si>
    <t>Boys &amp; Girls Golf</t>
  </si>
  <si>
    <t>coaching remibursement</t>
  </si>
  <si>
    <t>goal &amp; wheels</t>
  </si>
  <si>
    <t>batting cage</t>
  </si>
  <si>
    <t>bags &amp; jackets</t>
  </si>
  <si>
    <t>girls basketball</t>
  </si>
  <si>
    <t>boys &amp; girls swim</t>
  </si>
  <si>
    <t>cable</t>
  </si>
  <si>
    <t>print supplies</t>
  </si>
  <si>
    <t>breakfast</t>
  </si>
  <si>
    <t>Snapchat reimb</t>
  </si>
  <si>
    <t>Void check replaced by Ck #5289</t>
  </si>
  <si>
    <t>RHS Girls Ultimate</t>
  </si>
  <si>
    <t>close account</t>
  </si>
  <si>
    <t>Veraci Pissa, Inc.</t>
  </si>
  <si>
    <t>MACS</t>
  </si>
  <si>
    <t>Julianne Prekaski</t>
  </si>
  <si>
    <t>polo's hats and shirts</t>
  </si>
  <si>
    <t>auction hats</t>
  </si>
  <si>
    <t>Chris Austen</t>
  </si>
  <si>
    <t>Tia Cantrell</t>
  </si>
  <si>
    <t>Heather Hawkins</t>
  </si>
  <si>
    <t>Renee Davis</t>
  </si>
  <si>
    <t>Jeff Havin</t>
  </si>
  <si>
    <t>auction venue</t>
  </si>
  <si>
    <t>auction expense</t>
  </si>
  <si>
    <t>raffle winner</t>
  </si>
  <si>
    <t>auctioneer</t>
  </si>
  <si>
    <t>jv uniforms</t>
  </si>
  <si>
    <t>year end &amp; awards</t>
  </si>
  <si>
    <t>timing system</t>
  </si>
  <si>
    <t>Concession Lease Profit</t>
  </si>
  <si>
    <t>Uniforms $1330 &amp;960</t>
  </si>
  <si>
    <t>Renee Daviis</t>
  </si>
  <si>
    <t>raffle winner - donated back</t>
  </si>
  <si>
    <t>Auction Revenue</t>
  </si>
  <si>
    <t>hoody's</t>
  </si>
  <si>
    <t>shiping</t>
  </si>
  <si>
    <t>jerseys</t>
  </si>
  <si>
    <t>Clock $111</t>
  </si>
  <si>
    <t>Boys Basketball</t>
  </si>
  <si>
    <t>Boys Cross Country</t>
  </si>
  <si>
    <t>Boys Lacrosse</t>
  </si>
  <si>
    <t>Boys Soccer</t>
  </si>
  <si>
    <t>Boys Swim &amp; Dive</t>
  </si>
  <si>
    <t>Boys Track Team</t>
  </si>
  <si>
    <t>Boys Water Polo</t>
  </si>
  <si>
    <t>Girls Basketball</t>
  </si>
  <si>
    <t>Girls Cross Country</t>
  </si>
  <si>
    <t>Girls Lacrosse</t>
  </si>
  <si>
    <t>Girls Soccer</t>
  </si>
  <si>
    <t>Girls Swim &amp; Dive</t>
  </si>
  <si>
    <t>Girls Track</t>
  </si>
  <si>
    <t>Girls Water Polo</t>
  </si>
  <si>
    <t>Golf - Coed</t>
  </si>
  <si>
    <t>Tennis - Coed</t>
  </si>
  <si>
    <t>* Note the amounts shown are 1/2 the team proceeds from procured items (i.e. the amount the team raised for the general fund).</t>
  </si>
  <si>
    <t>Trainer Supplies</t>
  </si>
  <si>
    <t>golf hats</t>
  </si>
  <si>
    <t>tennis</t>
  </si>
  <si>
    <t>Lianne Onart</t>
  </si>
  <si>
    <t>Roosevelt Roughriders LX</t>
  </si>
  <si>
    <t>Joe Bentler</t>
  </si>
  <si>
    <t>Aimee Jacobsen</t>
  </si>
  <si>
    <t>Monica Wilkinson</t>
  </si>
  <si>
    <t>fees, gifts, account funding</t>
  </si>
  <si>
    <t>caps</t>
  </si>
  <si>
    <t>goodie bags</t>
  </si>
  <si>
    <t>fees uniforms, trainer</t>
  </si>
  <si>
    <t>tshirts</t>
  </si>
  <si>
    <t>Field Fee $800 uniforms $814</t>
  </si>
  <si>
    <t>end of year party</t>
  </si>
  <si>
    <t>soccer</t>
  </si>
  <si>
    <t>Michael Talon</t>
  </si>
  <si>
    <t>Lou Cueves Photo</t>
  </si>
  <si>
    <t>Leslie Cooer Donation Acct</t>
  </si>
  <si>
    <t>field fees</t>
  </si>
  <si>
    <t>soda</t>
  </si>
  <si>
    <t>liability insurance</t>
  </si>
  <si>
    <t>Laura Hernon</t>
  </si>
  <si>
    <t>2016/2017</t>
  </si>
  <si>
    <t>shorts &amp; shirts</t>
  </si>
  <si>
    <t>Roosevelt Football</t>
  </si>
  <si>
    <t>reimbursement</t>
  </si>
  <si>
    <t>youth camp reimbursement</t>
  </si>
  <si>
    <t>hats &amp; polo's</t>
  </si>
  <si>
    <t>coach dinner</t>
  </si>
  <si>
    <t>Meg Wolfe</t>
  </si>
  <si>
    <t>Erin Paxinos</t>
  </si>
  <si>
    <t>Billie Hwang</t>
  </si>
  <si>
    <t>Adam Firnol</t>
  </si>
  <si>
    <t>Bridger Hayashi</t>
  </si>
  <si>
    <t>boy's waterpolo</t>
  </si>
  <si>
    <t>cap &amp; scoreboard</t>
  </si>
  <si>
    <t>trainer supply</t>
  </si>
  <si>
    <t>camp</t>
  </si>
  <si>
    <t>hudl &amp; dinner</t>
  </si>
  <si>
    <t>tshirts &amp; Vest</t>
  </si>
  <si>
    <t>Uniforms $654.94</t>
  </si>
  <si>
    <t>round &amp; balls</t>
  </si>
  <si>
    <t>food vouchers</t>
  </si>
  <si>
    <t>team tent</t>
  </si>
  <si>
    <t>design</t>
  </si>
  <si>
    <t>5 Year renewal fee</t>
  </si>
  <si>
    <t>Stephen Wolf</t>
  </si>
  <si>
    <t>Laura Kussick</t>
  </si>
  <si>
    <t>Bob Alverson</t>
  </si>
  <si>
    <t>spirit jersey</t>
  </si>
  <si>
    <t>air travel</t>
  </si>
  <si>
    <t>Uniforms $1164</t>
  </si>
  <si>
    <t>uniforms 3750</t>
  </si>
  <si>
    <t>The Landing at Tyee</t>
  </si>
  <si>
    <t>Katie Larson</t>
  </si>
  <si>
    <t>Keith Weinberger</t>
  </si>
  <si>
    <t>Crispina Foss</t>
  </si>
  <si>
    <t>towels</t>
  </si>
  <si>
    <t>assistant coach</t>
  </si>
  <si>
    <t>misc</t>
  </si>
  <si>
    <t>Uniforms $1000</t>
  </si>
  <si>
    <t>Nicole Carbine</t>
  </si>
  <si>
    <t>Krissy Grey</t>
  </si>
  <si>
    <t>Karen Appel</t>
  </si>
  <si>
    <t>banquet</t>
  </si>
  <si>
    <t>Boy's Water Polo</t>
  </si>
  <si>
    <t>clinic</t>
  </si>
  <si>
    <t>sweatshirts</t>
  </si>
  <si>
    <t>Shot Clock &amp; controller</t>
  </si>
  <si>
    <t>Caps &amp; Scoreboard, clock &amp; timer</t>
  </si>
  <si>
    <t>Lisa Matthies</t>
  </si>
  <si>
    <t>North Seattle Baseball</t>
  </si>
  <si>
    <t>Ben Scheffler</t>
  </si>
  <si>
    <t>uniforms 935.02 batting $625</t>
  </si>
  <si>
    <t>website fee</t>
  </si>
  <si>
    <t>tshirts &amp; jackets</t>
  </si>
  <si>
    <t>Michael Ball</t>
  </si>
  <si>
    <t>Nina Hayek</t>
  </si>
  <si>
    <t>Tuff T's</t>
  </si>
  <si>
    <t>$800 for warmup's</t>
  </si>
  <si>
    <t>baloons</t>
  </si>
  <si>
    <t>warmups</t>
  </si>
  <si>
    <t>coach fee</t>
  </si>
  <si>
    <t>Sound Choice Insurance</t>
  </si>
  <si>
    <t>Trainer 359.40</t>
  </si>
  <si>
    <t>(2017/2018 not included)</t>
  </si>
  <si>
    <t>BA</t>
  </si>
  <si>
    <t>Kristy Skogerboe</t>
  </si>
  <si>
    <t>East Bay</t>
  </si>
  <si>
    <t xml:space="preserve">Sports Engine </t>
  </si>
  <si>
    <t>SOS</t>
  </si>
  <si>
    <t>web license</t>
  </si>
  <si>
    <t>Bank</t>
  </si>
  <si>
    <t>Auction Summary Recap -  3/3/2018</t>
  </si>
  <si>
    <t>Martin Foster</t>
  </si>
  <si>
    <t>Lamar Hurd</t>
  </si>
  <si>
    <t>Brittney Long</t>
  </si>
  <si>
    <t>Stephanie McGee</t>
  </si>
  <si>
    <t>Ryan Sherlock</t>
  </si>
  <si>
    <t>Jeffrey Ware</t>
  </si>
  <si>
    <t>2017/2018</t>
  </si>
  <si>
    <t>Kathleen Harman</t>
  </si>
  <si>
    <t>Jeff Ware</t>
  </si>
  <si>
    <t>ice cream</t>
  </si>
  <si>
    <t>program printing</t>
  </si>
  <si>
    <t>green fee's</t>
  </si>
  <si>
    <t>coaches dinner</t>
  </si>
  <si>
    <t>weight room items</t>
  </si>
  <si>
    <t>Team Accounts 2017 - 2018</t>
  </si>
  <si>
    <t>Brady McMullen</t>
  </si>
  <si>
    <t>auction rental fee Feb 2018</t>
  </si>
  <si>
    <t>coats</t>
  </si>
  <si>
    <t>pizza &amp; F&amp;B from Jackson GC</t>
  </si>
  <si>
    <t>chili feed</t>
  </si>
  <si>
    <t>Sweats</t>
  </si>
  <si>
    <t>Party Supplies</t>
  </si>
  <si>
    <t>Golf Trophies</t>
  </si>
  <si>
    <t>Kristen DePew</t>
  </si>
  <si>
    <t>Jeanette Chandler</t>
  </si>
  <si>
    <t>VOID</t>
  </si>
  <si>
    <t>boys XC</t>
  </si>
  <si>
    <t>girls xc</t>
  </si>
  <si>
    <t>volleyball awards</t>
  </si>
  <si>
    <t>boys cross xc</t>
  </si>
  <si>
    <t>Maya Dammand</t>
  </si>
  <si>
    <t>Volleyball Flowers</t>
  </si>
  <si>
    <t>Molly Black</t>
  </si>
  <si>
    <t>Vball, Girls Swimming, Girls Soccer</t>
  </si>
  <si>
    <t>Team Banquets - multiple</t>
  </si>
  <si>
    <t>Linda Nordstrom</t>
  </si>
  <si>
    <t>Volleyball Banquet</t>
  </si>
  <si>
    <t>Holly Poulias</t>
  </si>
  <si>
    <t>Transfer Request</t>
  </si>
  <si>
    <t>Girls x-country</t>
  </si>
  <si>
    <t>Girls Basketball ASB Account</t>
  </si>
  <si>
    <t>RAB Grant</t>
  </si>
  <si>
    <t>Boys Basketball Program Layout</t>
  </si>
  <si>
    <t>Range Balls</t>
  </si>
  <si>
    <t>David Gross</t>
  </si>
  <si>
    <t>Bruce Richardson</t>
  </si>
  <si>
    <t>Boys Basketball San Diego Trip Expenses</t>
  </si>
  <si>
    <t>Steve Kelley</t>
  </si>
  <si>
    <t>Shootaway Grant</t>
  </si>
  <si>
    <t xml:space="preserve">Shootaway </t>
  </si>
  <si>
    <t>$1,730 for Shootaway Rebounding Machine</t>
  </si>
  <si>
    <t>Khadra M. Ismail</t>
  </si>
  <si>
    <t>Boys Basketball San Diego Trip Refund</t>
  </si>
  <si>
    <t>Tim Mirick</t>
  </si>
  <si>
    <t>Boys Basketball San Diego Trip Reimbursement</t>
  </si>
  <si>
    <t>Boys Swim and Dive</t>
  </si>
  <si>
    <t>Swim Gear</t>
  </si>
  <si>
    <t>Gerard Miller</t>
  </si>
  <si>
    <t>Soap for Wrestling</t>
  </si>
  <si>
    <t>Stamps for RAB</t>
  </si>
  <si>
    <t>Sara Thomas</t>
  </si>
  <si>
    <t>Website Expenses</t>
  </si>
  <si>
    <t>BSN Sports</t>
  </si>
  <si>
    <t>Warm Ups</t>
  </si>
  <si>
    <t>Coaching</t>
  </si>
  <si>
    <t>Jerseys, Gifts</t>
  </si>
  <si>
    <t>Coaches Polos - Football</t>
  </si>
  <si>
    <t>Ann Chikahasa</t>
  </si>
  <si>
    <t>Uniforms</t>
  </si>
  <si>
    <t>Jan Checks</t>
  </si>
  <si>
    <t>Jan Deposits</t>
  </si>
  <si>
    <t>Dec Deposits</t>
  </si>
  <si>
    <t>Dec Checks</t>
  </si>
  <si>
    <t>old check</t>
  </si>
  <si>
    <t>Nov Checks</t>
  </si>
  <si>
    <t>Totals</t>
  </si>
  <si>
    <t>Difference</t>
  </si>
  <si>
    <t>unreconciled</t>
  </si>
  <si>
    <t>New Jan Total</t>
  </si>
  <si>
    <t>Jan Checks not cleared</t>
  </si>
  <si>
    <t>Dec Check not cleared</t>
  </si>
  <si>
    <t>Ending balance checking account</t>
  </si>
  <si>
    <t>12201 Tukwila International Blvd</t>
  </si>
  <si>
    <t>4th Floor</t>
  </si>
  <si>
    <t>Seattle, WA 98168 - 5121</t>
  </si>
  <si>
    <t>c/o Sabey Corp.</t>
  </si>
  <si>
    <t>Attn; Tim Mirick</t>
  </si>
  <si>
    <t>Landing at Tyee</t>
  </si>
  <si>
    <t>Auction Site Payment</t>
  </si>
  <si>
    <t>BSN Sports, LLC</t>
  </si>
  <si>
    <t>finalizes payment for warm ups (5491)</t>
  </si>
  <si>
    <t>RHS Boys Basketball ASB Account</t>
  </si>
  <si>
    <t>Transfer to ASB</t>
  </si>
  <si>
    <t>RHS Lacrosse Club</t>
  </si>
  <si>
    <t>Fields and Trainer Fees</t>
  </si>
  <si>
    <t>Auction Food</t>
  </si>
  <si>
    <t>Feb Checks</t>
  </si>
  <si>
    <t>Feb Deposits</t>
  </si>
  <si>
    <t>adj</t>
  </si>
  <si>
    <t>Feb Bank Ending Balance</t>
  </si>
  <si>
    <t xml:space="preserve">unreconciled </t>
  </si>
  <si>
    <t>Sub Total unreconciled</t>
  </si>
  <si>
    <t>Bank Balance - unreconciled</t>
  </si>
  <si>
    <t>Total New Deposits + Unreconciled Checks from Previous Months (minus) New RECONCILED checks from current Month</t>
  </si>
  <si>
    <t>Reconciled Balance for Jan</t>
  </si>
  <si>
    <t>Reconciled Balance for Feb</t>
  </si>
  <si>
    <t>Field Fees and Concussion Protocol and Trainer Expenses</t>
  </si>
  <si>
    <t>Monty McAlpine</t>
  </si>
  <si>
    <t>Raffle Expenses</t>
  </si>
  <si>
    <t>RAB Raffle</t>
  </si>
  <si>
    <t>RAB Gala Wine</t>
  </si>
  <si>
    <t>RAB Gala</t>
  </si>
  <si>
    <t>H&amp;L Sporting Goods</t>
  </si>
  <si>
    <t>Track Uniforms (2,080 RAB Grant, 1241.68 Boys Track, 1241.67 Girls Track)</t>
  </si>
  <si>
    <t>B&amp;G Track and RAB</t>
  </si>
  <si>
    <t>Partial RAB Grant</t>
  </si>
  <si>
    <t>Coaches Hats and Jackets</t>
  </si>
  <si>
    <t>Womens Lacrosse</t>
  </si>
  <si>
    <t>Gala Supplies and Services</t>
  </si>
  <si>
    <t>Gala Catering</t>
  </si>
  <si>
    <t>Raffle Winner</t>
  </si>
  <si>
    <t>Raffle</t>
  </si>
  <si>
    <t>Collette Maclean</t>
  </si>
  <si>
    <t>Mike James</t>
  </si>
  <si>
    <t>End of year party and Coaches Gift</t>
  </si>
  <si>
    <t>Men's Basketball</t>
  </si>
  <si>
    <t>March Bank Ending Balance</t>
  </si>
  <si>
    <t>uncashed chks</t>
  </si>
  <si>
    <t>Unified Sports</t>
  </si>
  <si>
    <t>2080 Grant for Uniforms for both Mens and Womens Track</t>
  </si>
  <si>
    <t>RHS Wrestling ASB Account</t>
  </si>
  <si>
    <t>RHS Boys Soccer ASB Account</t>
  </si>
  <si>
    <t>Wrestling Uniforms</t>
  </si>
  <si>
    <t>Coaches Fees</t>
  </si>
  <si>
    <t>Boys Wrestling</t>
  </si>
  <si>
    <t>Christal Reynn - Duyungan</t>
  </si>
  <si>
    <t>Boys Soccer Socks</t>
  </si>
  <si>
    <t>Bill Reid</t>
  </si>
  <si>
    <t>Girls Lacrosse Sticks</t>
  </si>
  <si>
    <t>RHS Baseball ASB Account</t>
  </si>
  <si>
    <t>Spokane Bus Transportation</t>
  </si>
  <si>
    <t>Boys Baseball</t>
  </si>
  <si>
    <t>Kendall Aberg</t>
  </si>
  <si>
    <t>HoF Plaque</t>
  </si>
  <si>
    <t>Womens Lacrosse - Balls</t>
  </si>
  <si>
    <t>RHS Football Website</t>
  </si>
  <si>
    <t>Andy James</t>
  </si>
  <si>
    <t>Food / Snacks</t>
  </si>
  <si>
    <t>Tote Bags</t>
  </si>
  <si>
    <t>Posters</t>
  </si>
  <si>
    <t>Deposits</t>
  </si>
  <si>
    <t>General</t>
  </si>
  <si>
    <t>Womens Bball</t>
  </si>
  <si>
    <t xml:space="preserve">Golf Team </t>
  </si>
  <si>
    <t>Boys Track</t>
  </si>
  <si>
    <t>$2730.72 for Transportation, Field Equipment and Cage Time</t>
  </si>
  <si>
    <t>Amazon Gift Cards</t>
  </si>
  <si>
    <t>Snacks</t>
  </si>
  <si>
    <t>Boosters Cash Flow - As of June 1, 2018</t>
  </si>
  <si>
    <t>794.64 - first half of Uniform payment (total approved grant 1635.12) second half paid in April 840.48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</si>
</sst>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-409]mmmm\ d\,\ yyyy;@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60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4" fontId="3" fillId="0" borderId="0" xfId="0" applyNumberFormat="1" applyFont="1"/>
    <xf numFmtId="4" fontId="4" fillId="0" borderId="6" xfId="0" applyNumberFormat="1" applyFont="1" applyBorder="1" applyAlignment="1"/>
    <xf numFmtId="4" fontId="4" fillId="0" borderId="4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6" fillId="0" borderId="12" xfId="0" applyFont="1" applyBorder="1"/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6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21" xfId="0" applyNumberFormat="1" applyFont="1" applyBorder="1"/>
    <xf numFmtId="165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4" fontId="4" fillId="0" borderId="0" xfId="0" applyNumberFormat="1" applyFont="1" applyBorder="1"/>
    <xf numFmtId="4" fontId="4" fillId="0" borderId="22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/>
    <xf numFmtId="0" fontId="2" fillId="0" borderId="24" xfId="0" applyFont="1" applyBorder="1"/>
    <xf numFmtId="7" fontId="2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9" fontId="0" fillId="0" borderId="13" xfId="4" applyFont="1" applyBorder="1"/>
    <xf numFmtId="9" fontId="0" fillId="0" borderId="27" xfId="4" applyFont="1" applyBorder="1"/>
    <xf numFmtId="9" fontId="11" fillId="0" borderId="13" xfId="4" applyFont="1" applyBorder="1"/>
    <xf numFmtId="9" fontId="11" fillId="0" borderId="27" xfId="4" applyFont="1" applyBorder="1"/>
    <xf numFmtId="0" fontId="0" fillId="0" borderId="13" xfId="0" quotePrefix="1" applyBorder="1" applyAlignment="1">
      <alignment horizontal="lef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9" fontId="11" fillId="0" borderId="28" xfId="4" applyFont="1" applyBorder="1"/>
    <xf numFmtId="9" fontId="6" fillId="0" borderId="0" xfId="0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  <xf numFmtId="9" fontId="0" fillId="0" borderId="0" xfId="4" applyFont="1"/>
    <xf numFmtId="4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9" fontId="0" fillId="0" borderId="0" xfId="0" applyNumberFormat="1"/>
    <xf numFmtId="0" fontId="2" fillId="0" borderId="29" xfId="0" applyFont="1" applyBorder="1"/>
    <xf numFmtId="2" fontId="2" fillId="0" borderId="29" xfId="0" applyNumberFormat="1" applyFont="1" applyBorder="1"/>
    <xf numFmtId="4" fontId="2" fillId="0" borderId="29" xfId="0" applyNumberFormat="1" applyFont="1" applyBorder="1"/>
    <xf numFmtId="43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165" fontId="3" fillId="0" borderId="20" xfId="0" applyNumberFormat="1" applyFont="1" applyBorder="1"/>
    <xf numFmtId="165" fontId="3" fillId="0" borderId="32" xfId="0" applyNumberFormat="1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3" fontId="0" fillId="0" borderId="13" xfId="0" applyNumberFormat="1" applyFill="1" applyBorder="1"/>
    <xf numFmtId="43" fontId="0" fillId="0" borderId="0" xfId="0" applyNumberFormat="1" applyFill="1"/>
    <xf numFmtId="43" fontId="2" fillId="0" borderId="0" xfId="0" applyNumberFormat="1" applyFont="1" applyFill="1"/>
    <xf numFmtId="0" fontId="0" fillId="0" borderId="0" xfId="0" applyFill="1"/>
    <xf numFmtId="43" fontId="2" fillId="0" borderId="30" xfId="0" applyNumberFormat="1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18" xfId="0" applyNumberFormat="1" applyBorder="1"/>
    <xf numFmtId="0" fontId="4" fillId="0" borderId="0" xfId="0" applyFont="1"/>
    <xf numFmtId="42" fontId="3" fillId="0" borderId="3" xfId="0" applyNumberFormat="1" applyFont="1" applyBorder="1"/>
    <xf numFmtId="0" fontId="0" fillId="0" borderId="0" xfId="0" applyAlignment="1"/>
    <xf numFmtId="0" fontId="13" fillId="0" borderId="0" xfId="0" applyFont="1" applyAlignment="1">
      <alignment horizontal="center"/>
    </xf>
    <xf numFmtId="4" fontId="0" fillId="0" borderId="35" xfId="0" applyNumberFormat="1" applyBorder="1"/>
    <xf numFmtId="44" fontId="3" fillId="0" borderId="0" xfId="0" applyNumberFormat="1" applyFont="1"/>
    <xf numFmtId="44" fontId="3" fillId="0" borderId="34" xfId="0" applyNumberFormat="1" applyFont="1" applyBorder="1"/>
    <xf numFmtId="44" fontId="3" fillId="0" borderId="0" xfId="0" applyNumberFormat="1" applyFont="1" applyFill="1"/>
    <xf numFmtId="44" fontId="4" fillId="0" borderId="25" xfId="0" applyNumberFormat="1" applyFont="1" applyBorder="1"/>
    <xf numFmtId="44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/>
    <xf numFmtId="44" fontId="4" fillId="0" borderId="3" xfId="0" applyNumberFormat="1" applyFont="1" applyBorder="1"/>
    <xf numFmtId="44" fontId="4" fillId="0" borderId="36" xfId="0" applyNumberFormat="1" applyFont="1" applyBorder="1"/>
    <xf numFmtId="44" fontId="3" fillId="0" borderId="1" xfId="0" applyNumberFormat="1" applyFont="1" applyBorder="1"/>
    <xf numFmtId="44" fontId="3" fillId="0" borderId="37" xfId="0" applyNumberFormat="1" applyFont="1" applyBorder="1"/>
    <xf numFmtId="44" fontId="3" fillId="0" borderId="38" xfId="0" applyNumberFormat="1" applyFont="1" applyBorder="1"/>
    <xf numFmtId="44" fontId="3" fillId="0" borderId="39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Fill="1" applyBorder="1"/>
    <xf numFmtId="44" fontId="3" fillId="0" borderId="40" xfId="0" applyNumberFormat="1" applyFont="1" applyBorder="1"/>
    <xf numFmtId="44" fontId="3" fillId="0" borderId="34" xfId="0" applyNumberFormat="1" applyFont="1" applyFill="1" applyBorder="1"/>
    <xf numFmtId="165" fontId="4" fillId="0" borderId="21" xfId="0" applyNumberFormat="1" applyFont="1" applyBorder="1" applyAlignment="1">
      <alignment horizontal="center"/>
    </xf>
    <xf numFmtId="43" fontId="0" fillId="0" borderId="33" xfId="0" applyNumberFormat="1" applyBorder="1"/>
    <xf numFmtId="0" fontId="2" fillId="0" borderId="41" xfId="0" applyFont="1" applyBorder="1" applyAlignment="1">
      <alignment horizontal="center"/>
    </xf>
    <xf numFmtId="0" fontId="0" fillId="0" borderId="12" xfId="0" applyFill="1" applyBorder="1"/>
    <xf numFmtId="4" fontId="0" fillId="0" borderId="12" xfId="0" applyNumberFormat="1" applyBorder="1"/>
    <xf numFmtId="4" fontId="6" fillId="0" borderId="12" xfId="0" applyNumberFormat="1" applyFont="1" applyBorder="1"/>
    <xf numFmtId="0" fontId="0" fillId="0" borderId="15" xfId="0" applyBorder="1"/>
    <xf numFmtId="0" fontId="0" fillId="0" borderId="42" xfId="0" applyFill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13" fillId="0" borderId="0" xfId="0" applyFont="1"/>
    <xf numFmtId="43" fontId="6" fillId="2" borderId="0" xfId="1" applyFont="1" applyFill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ont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6" fontId="5" fillId="0" borderId="0" xfId="0" applyNumberFormat="1" applyFont="1" applyAlignment="1">
      <alignment horizontal="center" wrapText="1"/>
    </xf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0" fontId="0" fillId="0" borderId="0" xfId="0" applyFont="1" applyAlignment="1">
      <alignment horizontal="right"/>
    </xf>
    <xf numFmtId="14" fontId="0" fillId="0" borderId="0" xfId="0" applyNumberFormat="1" applyFont="1"/>
    <xf numFmtId="43" fontId="6" fillId="2" borderId="0" xfId="1" applyFont="1" applyFill="1"/>
    <xf numFmtId="0" fontId="0" fillId="0" borderId="0" xfId="0" applyFont="1" applyAlignment="1">
      <alignment horizontal="center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/>
    <xf numFmtId="43" fontId="6" fillId="0" borderId="0" xfId="1" applyFont="1" applyFill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10" fontId="2" fillId="0" borderId="0" xfId="4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justify"/>
    </xf>
    <xf numFmtId="16" fontId="2" fillId="0" borderId="0" xfId="0" applyNumberFormat="1" applyFont="1"/>
    <xf numFmtId="0" fontId="2" fillId="0" borderId="23" xfId="0" applyFont="1" applyBorder="1"/>
    <xf numFmtId="0" fontId="2" fillId="0" borderId="12" xfId="0" applyFont="1" applyBorder="1"/>
    <xf numFmtId="0" fontId="17" fillId="0" borderId="0" xfId="3" applyFont="1" applyAlignment="1" applyProtection="1"/>
    <xf numFmtId="42" fontId="0" fillId="0" borderId="0" xfId="0" applyNumberFormat="1"/>
    <xf numFmtId="44" fontId="0" fillId="0" borderId="0" xfId="0" applyNumberFormat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0" fontId="2" fillId="0" borderId="13" xfId="0" quotePrefix="1" applyFont="1" applyBorder="1" applyAlignment="1">
      <alignment horizontal="center"/>
    </xf>
    <xf numFmtId="12" fontId="3" fillId="0" borderId="0" xfId="0" applyNumberFormat="1" applyFont="1"/>
    <xf numFmtId="44" fontId="3" fillId="0" borderId="0" xfId="2" applyFont="1"/>
    <xf numFmtId="43" fontId="0" fillId="0" borderId="13" xfId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Fill="1" applyBorder="1"/>
    <xf numFmtId="4" fontId="0" fillId="0" borderId="0" xfId="0" applyNumberFormat="1" applyBorder="1"/>
    <xf numFmtId="0" fontId="16" fillId="2" borderId="0" xfId="0" applyFont="1" applyFill="1"/>
    <xf numFmtId="0" fontId="2" fillId="2" borderId="0" xfId="0" applyFont="1" applyFill="1"/>
    <xf numFmtId="44" fontId="2" fillId="2" borderId="0" xfId="2" applyFont="1" applyFill="1"/>
    <xf numFmtId="164" fontId="3" fillId="0" borderId="43" xfId="0" applyNumberFormat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Border="1"/>
    <xf numFmtId="44" fontId="3" fillId="0" borderId="43" xfId="2" applyFont="1" applyBorder="1"/>
    <xf numFmtId="44" fontId="3" fillId="0" borderId="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0" fontId="0" fillId="0" borderId="0" xfId="0" applyAlignment="1">
      <alignment horizontal="center"/>
    </xf>
    <xf numFmtId="43" fontId="0" fillId="0" borderId="0" xfId="1" applyFont="1" applyFill="1"/>
    <xf numFmtId="44" fontId="0" fillId="0" borderId="0" xfId="2" applyFont="1"/>
    <xf numFmtId="44" fontId="2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3" fillId="0" borderId="0" xfId="0" applyNumberFormat="1" applyFont="1" applyFill="1"/>
    <xf numFmtId="43" fontId="1" fillId="0" borderId="0" xfId="1" applyFont="1" applyFill="1"/>
    <xf numFmtId="0" fontId="20" fillId="0" borderId="0" xfId="0" applyFont="1"/>
    <xf numFmtId="0" fontId="0" fillId="0" borderId="0" xfId="0" applyFont="1" applyFill="1" applyAlignment="1">
      <alignment horizontal="right"/>
    </xf>
    <xf numFmtId="14" fontId="0" fillId="0" borderId="0" xfId="0" applyNumberFormat="1" applyFont="1" applyFill="1"/>
    <xf numFmtId="0" fontId="0" fillId="0" borderId="0" xfId="0" applyFont="1" applyFill="1"/>
    <xf numFmtId="0" fontId="0" fillId="0" borderId="0" xfId="0" applyAlignment="1">
      <alignment horizontal="center"/>
    </xf>
    <xf numFmtId="43" fontId="1" fillId="2" borderId="0" xfId="1" applyFont="1" applyFill="1"/>
    <xf numFmtId="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  <cellStyle name="Percent 2" xfId="5"/>
    <cellStyle name="Percent 2 2" xfId="6"/>
    <cellStyle name="Percent 3" xfId="7"/>
  </cellStyles>
  <dxfs count="69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oosters.rhssports.org/" TargetMode="External"/><Relationship Id="rId1" Type="http://schemas.openxmlformats.org/officeDocument/2006/relationships/hyperlink" Target="mailto:greg@blumecompan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M76"/>
  <sheetViews>
    <sheetView tabSelected="1" topLeftCell="A7" zoomScale="85" zoomScaleNormal="85" workbookViewId="0">
      <selection activeCell="J66" sqref="J66"/>
    </sheetView>
  </sheetViews>
  <sheetFormatPr defaultColWidth="8.69140625" defaultRowHeight="12.45" x14ac:dyDescent="0.3"/>
  <cols>
    <col min="1" max="1" width="29" customWidth="1"/>
    <col min="2" max="2" width="9.3046875" style="18" customWidth="1"/>
    <col min="3" max="3" width="9" style="19" customWidth="1"/>
    <col min="4" max="4" width="9.3828125" style="18" customWidth="1"/>
    <col min="5" max="5" width="9.3046875" style="18" customWidth="1"/>
    <col min="6" max="6" width="8.15234375" style="18" customWidth="1"/>
    <col min="7" max="7" width="9.53515625" style="18" customWidth="1"/>
    <col min="8" max="8" width="10" style="18" customWidth="1"/>
    <col min="9" max="9" width="9.69140625" style="18" customWidth="1"/>
    <col min="10" max="10" width="9.3046875" style="18" customWidth="1"/>
    <col min="11" max="11" width="9.15234375" style="18" customWidth="1"/>
    <col min="12" max="12" width="10.53515625" style="18" customWidth="1"/>
    <col min="13" max="13" width="15.3828125" style="18" customWidth="1"/>
    <col min="14" max="14" width="4.3046875" customWidth="1"/>
    <col min="15" max="15" width="21.69140625" customWidth="1"/>
    <col min="16" max="16" width="12" customWidth="1"/>
    <col min="17" max="17" width="12.15234375" hidden="1" customWidth="1"/>
    <col min="18" max="18" width="10.69140625" hidden="1" customWidth="1"/>
    <col min="19" max="27" width="0" hidden="1" customWidth="1"/>
    <col min="34" max="34" width="11.15234375" customWidth="1"/>
    <col min="36" max="37" width="12.15234375" hidden="1" customWidth="1"/>
    <col min="38" max="38" width="0" hidden="1" customWidth="1"/>
  </cols>
  <sheetData>
    <row r="1" spans="1:169" ht="24.75" customHeight="1" thickBot="1" x14ac:dyDescent="0.6">
      <c r="A1" s="248" t="s">
        <v>1098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169" s="24" customFormat="1" x14ac:dyDescent="0.3">
      <c r="A2" s="20" t="s">
        <v>14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1" t="s">
        <v>25</v>
      </c>
      <c r="M2" s="22" t="s">
        <v>26</v>
      </c>
      <c r="N2" s="23"/>
      <c r="O2" s="23"/>
      <c r="P2" s="23"/>
      <c r="Q2" s="23"/>
      <c r="R2" s="23">
        <v>1</v>
      </c>
      <c r="S2" s="23">
        <v>4</v>
      </c>
      <c r="T2" s="23" t="s">
        <v>325</v>
      </c>
      <c r="U2" s="23" t="s">
        <v>326</v>
      </c>
      <c r="V2" s="23" t="s">
        <v>327</v>
      </c>
      <c r="W2" s="23" t="s">
        <v>328</v>
      </c>
      <c r="X2" s="23">
        <v>10</v>
      </c>
      <c r="Y2" s="23">
        <v>16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1:169" x14ac:dyDescent="0.3">
      <c r="A3" s="189" t="s">
        <v>27</v>
      </c>
      <c r="B3" s="26">
        <f>287.8+20+460+11.57+20+0.18</f>
        <v>799.55</v>
      </c>
      <c r="C3" s="27">
        <f>-287.8+20+120+4.76+100+100+100+50+50</f>
        <v>256.95999999999998</v>
      </c>
      <c r="D3" s="27">
        <f>49.81+200+62.33+70+119.7+200</f>
        <v>701.83999999999992</v>
      </c>
      <c r="E3" s="27">
        <f>1000+14.75+373.43</f>
        <v>1388.18</v>
      </c>
      <c r="F3" s="27">
        <f>20+280</f>
        <v>300</v>
      </c>
      <c r="G3" s="27">
        <f>250+119.66</f>
        <v>369.65999999999997</v>
      </c>
      <c r="H3" s="27">
        <f>27.33+12.98+107.39+30.03</f>
        <v>177.73</v>
      </c>
      <c r="I3" s="27">
        <f>23.96+478.7+1400 -50</f>
        <v>1852.6599999999999</v>
      </c>
      <c r="J3" s="27">
        <f>20+396+285.22</f>
        <v>701.22</v>
      </c>
      <c r="K3" s="27">
        <f>5+4.23</f>
        <v>9.23</v>
      </c>
      <c r="L3" s="27"/>
      <c r="M3" s="28">
        <f>SUM(B3:L3)</f>
        <v>6557.03</v>
      </c>
      <c r="O3" s="4" t="s">
        <v>250</v>
      </c>
      <c r="R3" s="18">
        <f>M3</f>
        <v>6557.03</v>
      </c>
      <c r="Z3" s="18">
        <f>SUM(R3:Y3)</f>
        <v>6557.03</v>
      </c>
    </row>
    <row r="4" spans="1:169" x14ac:dyDescent="0.3">
      <c r="A4" s="189" t="s">
        <v>28</v>
      </c>
      <c r="B4" s="26">
        <f>940+719.67+1150+30+396+750+383.85+287.8+30</f>
        <v>4687.3200000000006</v>
      </c>
      <c r="C4" s="27">
        <f>287.8+815.37+47.67+650+300+66.57+485+100+362.53</f>
        <v>3114.9400000000005</v>
      </c>
      <c r="D4" s="27">
        <f>950+2065.09+766.3-49.81+1040+1600+280+25+598.21-62.33+2630+574.55-119.7+300+71.69+700+30</f>
        <v>11398.999999999998</v>
      </c>
      <c r="E4" s="27">
        <f>540+3495+800+47.67</f>
        <v>4882.67</v>
      </c>
      <c r="F4" s="27">
        <f>57.28+1650+30+500+2000+200</f>
        <v>4437.28</v>
      </c>
      <c r="G4" s="27">
        <f>479.9+191.75+700+239.17+30</f>
        <v>1640.8200000000002</v>
      </c>
      <c r="H4" s="27">
        <f>95.6+47.8+95.68+500+95.68+95.73+47.88+143.6+400+47.86+191.47+191.47</f>
        <v>1952.77</v>
      </c>
      <c r="I4" s="27">
        <f>20+200+479.12+71.87+95.82+30+10+47.87+23.93+239.35+335.09+478.7+47.87+95.74+143.61+1000+335.41+47.92+143.76+95.83+100+95.7+95.7</f>
        <v>4233.2899999999991</v>
      </c>
      <c r="J4" s="27">
        <f>30+1200+440+3650+200+142.61+142.61+143.37</f>
        <v>5948.5899999999992</v>
      </c>
      <c r="K4" s="27">
        <f>30+150+411.61+100+150+959.8+6474.94</f>
        <v>8276.3499999999985</v>
      </c>
      <c r="L4" s="27"/>
      <c r="M4" s="28">
        <f t="shared" ref="M4:M12" si="0">SUM(B4:L4)</f>
        <v>50573.029999999992</v>
      </c>
      <c r="O4" s="4" t="s">
        <v>251</v>
      </c>
      <c r="R4" s="18">
        <f>M4-T4</f>
        <v>50573.029999999992</v>
      </c>
      <c r="T4" s="18">
        <v>0</v>
      </c>
      <c r="Z4" s="18">
        <f t="shared" ref="Z4:Z12" si="1">SUM(R4:Y4)</f>
        <v>50573.029999999992</v>
      </c>
    </row>
    <row r="5" spans="1:169" x14ac:dyDescent="0.3">
      <c r="A5" s="189" t="s">
        <v>819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>
        <f t="shared" si="0"/>
        <v>0</v>
      </c>
      <c r="O5" s="4" t="s">
        <v>1026</v>
      </c>
      <c r="T5" s="18">
        <f>M5</f>
        <v>0</v>
      </c>
      <c r="Z5" s="18">
        <f t="shared" si="1"/>
        <v>0</v>
      </c>
    </row>
    <row r="6" spans="1:169" x14ac:dyDescent="0.3">
      <c r="A6" s="189" t="s">
        <v>782</v>
      </c>
      <c r="B6" s="26"/>
      <c r="C6" s="27"/>
      <c r="D6" s="27"/>
      <c r="E6" s="27"/>
      <c r="F6" s="27"/>
      <c r="G6" s="27"/>
      <c r="H6" s="27"/>
      <c r="I6" s="27">
        <f>41800+850+1150.62</f>
        <v>43800.62</v>
      </c>
      <c r="J6" s="27"/>
      <c r="K6" s="27"/>
      <c r="L6" s="27"/>
      <c r="M6" s="28">
        <f t="shared" si="0"/>
        <v>43800.62</v>
      </c>
      <c r="O6" s="4" t="s">
        <v>1025</v>
      </c>
      <c r="V6" s="18">
        <f>M6</f>
        <v>43800.62</v>
      </c>
      <c r="Z6" s="18">
        <f t="shared" si="1"/>
        <v>43800.62</v>
      </c>
    </row>
    <row r="7" spans="1:169" x14ac:dyDescent="0.3">
      <c r="A7" s="189" t="s">
        <v>30</v>
      </c>
      <c r="B7" s="26"/>
      <c r="C7" s="27"/>
      <c r="D7" s="27"/>
      <c r="E7" s="27"/>
      <c r="F7" s="27"/>
      <c r="G7" s="27"/>
      <c r="H7" s="27"/>
      <c r="I7" s="27">
        <f>1250+1250+33149.69</f>
        <v>35649.69</v>
      </c>
      <c r="J7" s="27">
        <v>288.06</v>
      </c>
      <c r="K7" s="27"/>
      <c r="L7" s="27"/>
      <c r="M7" s="28">
        <f t="shared" si="0"/>
        <v>35937.75</v>
      </c>
      <c r="O7" s="4" t="s">
        <v>1022</v>
      </c>
      <c r="T7" s="18">
        <f>M7</f>
        <v>35937.75</v>
      </c>
      <c r="Z7" s="18">
        <f t="shared" si="1"/>
        <v>35937.75</v>
      </c>
    </row>
    <row r="8" spans="1:169" x14ac:dyDescent="0.3">
      <c r="A8" s="189" t="s">
        <v>29</v>
      </c>
      <c r="B8" s="26"/>
      <c r="C8" s="27"/>
      <c r="D8" s="27"/>
      <c r="E8" s="27"/>
      <c r="F8" s="27"/>
      <c r="G8" s="27">
        <f>382.7+191.45</f>
        <v>574.15</v>
      </c>
      <c r="H8" s="27">
        <f>334.74+717.6+1101.21+1148.85</f>
        <v>3302.4</v>
      </c>
      <c r="I8" s="27">
        <f>670.77+3733.86+150+50</f>
        <v>4604.63</v>
      </c>
      <c r="J8" s="27"/>
      <c r="K8" s="27"/>
      <c r="L8" s="27"/>
      <c r="M8" s="28">
        <f>SUM(B8:L8)</f>
        <v>8481.18</v>
      </c>
      <c r="O8" s="4" t="s">
        <v>1023</v>
      </c>
      <c r="Z8" s="18">
        <f t="shared" si="1"/>
        <v>0</v>
      </c>
    </row>
    <row r="9" spans="1:169" x14ac:dyDescent="0.3">
      <c r="A9" s="189" t="s">
        <v>31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si="0"/>
        <v>0</v>
      </c>
      <c r="O9" s="4" t="s">
        <v>1024</v>
      </c>
      <c r="Z9" s="18">
        <f t="shared" si="1"/>
        <v>0</v>
      </c>
    </row>
    <row r="10" spans="1:169" x14ac:dyDescent="0.3">
      <c r="A10" s="189" t="s">
        <v>32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O10" s="4"/>
      <c r="Z10" s="18">
        <f t="shared" si="1"/>
        <v>0</v>
      </c>
    </row>
    <row r="11" spans="1:169" x14ac:dyDescent="0.3">
      <c r="A11" s="189" t="s">
        <v>33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O11" s="4"/>
      <c r="S11" s="18">
        <f>M11</f>
        <v>0</v>
      </c>
      <c r="Z11" s="18">
        <f t="shared" si="1"/>
        <v>0</v>
      </c>
    </row>
    <row r="12" spans="1:169" x14ac:dyDescent="0.3">
      <c r="A12" s="189" t="s">
        <v>34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O12" s="4" t="s">
        <v>293</v>
      </c>
      <c r="Z12" s="18">
        <f t="shared" si="1"/>
        <v>0</v>
      </c>
    </row>
    <row r="13" spans="1:169" ht="12.9" thickBot="1" x14ac:dyDescent="0.35">
      <c r="A13" s="30" t="s">
        <v>10</v>
      </c>
      <c r="B13" s="31">
        <f t="shared" ref="B13:L13" si="2">SUM(B3:B12)</f>
        <v>5486.8700000000008</v>
      </c>
      <c r="C13" s="31">
        <f t="shared" si="2"/>
        <v>3371.9000000000005</v>
      </c>
      <c r="D13" s="31">
        <f t="shared" si="2"/>
        <v>12100.839999999998</v>
      </c>
      <c r="E13" s="31">
        <f t="shared" si="2"/>
        <v>6270.85</v>
      </c>
      <c r="F13" s="31">
        <f t="shared" si="2"/>
        <v>4737.28</v>
      </c>
      <c r="G13" s="31">
        <f t="shared" si="2"/>
        <v>2584.63</v>
      </c>
      <c r="H13" s="31">
        <f t="shared" si="2"/>
        <v>5432.9</v>
      </c>
      <c r="I13" s="31">
        <f t="shared" si="2"/>
        <v>90140.890000000014</v>
      </c>
      <c r="J13" s="31">
        <f t="shared" si="2"/>
        <v>6937.87</v>
      </c>
      <c r="K13" s="31">
        <f t="shared" si="2"/>
        <v>8285.5799999999981</v>
      </c>
      <c r="L13" s="31">
        <f t="shared" si="2"/>
        <v>0</v>
      </c>
      <c r="M13" s="32">
        <f>SUM(B13:L13)</f>
        <v>145349.60999999999</v>
      </c>
      <c r="O13" s="190" t="s">
        <v>421</v>
      </c>
    </row>
    <row r="14" spans="1:169" x14ac:dyDescent="0.3">
      <c r="A14" s="20" t="s">
        <v>35</v>
      </c>
      <c r="B14" s="33" t="s">
        <v>15</v>
      </c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21</v>
      </c>
      <c r="I14" s="33" t="s">
        <v>22</v>
      </c>
      <c r="J14" s="33" t="s">
        <v>23</v>
      </c>
      <c r="K14" s="33" t="s">
        <v>24</v>
      </c>
      <c r="L14" s="33" t="s">
        <v>25</v>
      </c>
      <c r="M14" s="34" t="s">
        <v>26</v>
      </c>
      <c r="O14" s="4"/>
    </row>
    <row r="15" spans="1:169" x14ac:dyDescent="0.3">
      <c r="A15" s="189" t="s">
        <v>36</v>
      </c>
      <c r="B15" s="26">
        <v>1595</v>
      </c>
      <c r="C15" s="27">
        <v>190.25</v>
      </c>
      <c r="D15" s="27"/>
      <c r="E15" s="27"/>
      <c r="F15" s="27"/>
      <c r="G15" s="27">
        <v>0.1</v>
      </c>
      <c r="H15" s="27">
        <v>0.1</v>
      </c>
      <c r="I15" s="27"/>
      <c r="J15" s="27"/>
      <c r="K15" s="27"/>
      <c r="L15" s="27"/>
      <c r="M15" s="28">
        <f t="shared" ref="M15:M41" si="3">SUM(B15:L15)</f>
        <v>1785.4499999999998</v>
      </c>
      <c r="O15" s="4" t="s">
        <v>302</v>
      </c>
      <c r="Y15" s="18">
        <f>M15</f>
        <v>1785.4499999999998</v>
      </c>
    </row>
    <row r="16" spans="1:169" x14ac:dyDescent="0.3">
      <c r="A16" s="189" t="s">
        <v>249</v>
      </c>
      <c r="B16" s="26"/>
      <c r="C16" s="27"/>
      <c r="D16" s="27"/>
      <c r="E16" s="27"/>
      <c r="F16" s="27"/>
      <c r="G16" s="27">
        <v>49</v>
      </c>
      <c r="H16" s="27"/>
      <c r="I16" s="27"/>
      <c r="J16" s="27"/>
      <c r="K16" s="27"/>
      <c r="L16" s="27"/>
      <c r="M16" s="28">
        <f t="shared" si="3"/>
        <v>49</v>
      </c>
      <c r="O16" s="190" t="s">
        <v>303</v>
      </c>
      <c r="Y16" s="18">
        <f>M16</f>
        <v>49</v>
      </c>
    </row>
    <row r="17" spans="1:37" x14ac:dyDescent="0.3">
      <c r="A17" s="189" t="s">
        <v>63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>SUM(B17:L17)</f>
        <v>0</v>
      </c>
      <c r="Y17" s="18">
        <f>M17</f>
        <v>0</v>
      </c>
    </row>
    <row r="18" spans="1:37" x14ac:dyDescent="0.3">
      <c r="A18" s="189" t="s">
        <v>38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>SUM(B18:L18)</f>
        <v>0</v>
      </c>
      <c r="X18" s="18">
        <f>M18</f>
        <v>0</v>
      </c>
    </row>
    <row r="19" spans="1:37" x14ac:dyDescent="0.3">
      <c r="A19" s="189" t="s">
        <v>37</v>
      </c>
      <c r="B19" s="26"/>
      <c r="C19" s="27"/>
      <c r="D19" s="27">
        <v>1000</v>
      </c>
      <c r="E19" s="27">
        <v>795</v>
      </c>
      <c r="F19" s="27"/>
      <c r="G19" s="27"/>
      <c r="H19" s="27">
        <v>2819.3</v>
      </c>
      <c r="I19" s="27">
        <f>844.42+791.44+607.91+1819.3+4000+500+900+49.9</f>
        <v>9512.9699999999993</v>
      </c>
      <c r="K19" s="27"/>
      <c r="L19" s="27"/>
      <c r="M19" s="28">
        <f t="shared" si="3"/>
        <v>14127.27</v>
      </c>
      <c r="U19" s="18">
        <f>M19</f>
        <v>14127.27</v>
      </c>
    </row>
    <row r="20" spans="1:37" x14ac:dyDescent="0.3">
      <c r="A20" s="189" t="s">
        <v>304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>SUM(B20:L20)</f>
        <v>0</v>
      </c>
      <c r="W20" s="18">
        <f>M20</f>
        <v>0</v>
      </c>
    </row>
    <row r="21" spans="1:37" x14ac:dyDescent="0.3">
      <c r="A21" s="189" t="s">
        <v>315</v>
      </c>
      <c r="B21" s="26">
        <f>767+2000+2604.35</f>
        <v>5371.35</v>
      </c>
      <c r="C21" s="27">
        <f>49.35+331.25+671.47+315.01+389.2+85.25+1680</f>
        <v>3521.53</v>
      </c>
      <c r="D21" s="27">
        <f>525+173.51+465.62+297.84</f>
        <v>1461.97</v>
      </c>
      <c r="E21" s="27">
        <f>4587.32+141.92+149.05+100.28+346.68+1166+402.72+117.58+219.8+260</f>
        <v>7491.35</v>
      </c>
      <c r="F21" s="27">
        <f>-402.72+42.88+286.27+102.17+550+1730+1730+1200+68+36+402.72+1000</f>
        <v>6745.3200000000006</v>
      </c>
      <c r="G21" s="27">
        <f>150+239.9+1999+115.8+379.59+68.5+800+870+1248.82+1223.75</f>
        <v>7095.3600000000006</v>
      </c>
      <c r="H21" s="27">
        <f>6.92+1000+695+2099.5</f>
        <v>3801.42</v>
      </c>
      <c r="I21" s="27">
        <f>4563.35+282.66+1773.27</f>
        <v>6619.2800000000007</v>
      </c>
      <c r="J21" s="27">
        <f>1589.27+1500+1122.85+555.54+3292.1+106.91+171.87+511.9+175.32+276.25</f>
        <v>9302.01</v>
      </c>
      <c r="K21" s="27">
        <f>425+305.95+1680.96+5000</f>
        <v>7411.91</v>
      </c>
      <c r="L21" s="27"/>
      <c r="M21" s="28">
        <f t="shared" si="3"/>
        <v>58821.5</v>
      </c>
      <c r="X21" s="18">
        <f t="shared" ref="X21:X28" si="4">M21</f>
        <v>58821.5</v>
      </c>
    </row>
    <row r="22" spans="1:37" x14ac:dyDescent="0.3">
      <c r="A22" s="189" t="s">
        <v>39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3"/>
        <v>0</v>
      </c>
      <c r="X22" s="18">
        <f t="shared" si="4"/>
        <v>0</v>
      </c>
      <c r="AJ22" s="234"/>
    </row>
    <row r="23" spans="1:37" x14ac:dyDescent="0.3">
      <c r="A23" s="189" t="s">
        <v>40</v>
      </c>
      <c r="B23" s="26">
        <f>9*30</f>
        <v>270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3"/>
        <v>270</v>
      </c>
      <c r="X23" s="18">
        <f t="shared" si="4"/>
        <v>270</v>
      </c>
      <c r="AJ23" s="234">
        <v>143463.84</v>
      </c>
    </row>
    <row r="24" spans="1:37" x14ac:dyDescent="0.3">
      <c r="A24" s="189" t="s">
        <v>42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>
        <f t="shared" si="3"/>
        <v>0</v>
      </c>
      <c r="X24" s="18">
        <f t="shared" si="4"/>
        <v>0</v>
      </c>
      <c r="AJ24" s="234">
        <v>42.88</v>
      </c>
      <c r="AK24">
        <v>57.28</v>
      </c>
    </row>
    <row r="25" spans="1:37" x14ac:dyDescent="0.3">
      <c r="A25" s="189" t="s">
        <v>41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>
        <f t="shared" si="3"/>
        <v>0</v>
      </c>
      <c r="X25" s="18">
        <f t="shared" si="4"/>
        <v>0</v>
      </c>
      <c r="AH25" s="192"/>
      <c r="AJ25" s="234">
        <v>286.27</v>
      </c>
      <c r="AK25">
        <v>1650</v>
      </c>
    </row>
    <row r="26" spans="1:37" x14ac:dyDescent="0.3">
      <c r="A26" s="189" t="s">
        <v>62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>
        <f t="shared" si="3"/>
        <v>0</v>
      </c>
      <c r="X26" s="18">
        <f t="shared" si="4"/>
        <v>0</v>
      </c>
      <c r="AJ26" s="234">
        <v>102.17</v>
      </c>
      <c r="AK26">
        <v>30</v>
      </c>
    </row>
    <row r="27" spans="1:37" x14ac:dyDescent="0.3">
      <c r="A27" s="189" t="s">
        <v>253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>
        <f t="shared" si="3"/>
        <v>0</v>
      </c>
      <c r="X27" s="18">
        <f t="shared" si="4"/>
        <v>0</v>
      </c>
      <c r="AH27" s="192"/>
      <c r="AJ27" s="234">
        <v>550</v>
      </c>
      <c r="AK27">
        <v>20</v>
      </c>
    </row>
    <row r="28" spans="1:37" x14ac:dyDescent="0.3">
      <c r="A28" s="189" t="s">
        <v>292</v>
      </c>
      <c r="B28" s="26"/>
      <c r="C28" s="27"/>
      <c r="D28" s="27"/>
      <c r="E28" s="27"/>
      <c r="F28" s="27"/>
      <c r="G28" s="27"/>
      <c r="H28" s="27"/>
      <c r="I28" s="27"/>
      <c r="J28" s="27">
        <v>382.65</v>
      </c>
      <c r="K28" s="27"/>
      <c r="L28" s="27"/>
      <c r="M28" s="28">
        <f t="shared" si="3"/>
        <v>382.65</v>
      </c>
      <c r="X28" s="18">
        <f t="shared" si="4"/>
        <v>382.65</v>
      </c>
      <c r="AJ28" s="234">
        <v>55</v>
      </c>
      <c r="AK28">
        <v>500</v>
      </c>
    </row>
    <row r="29" spans="1:37" x14ac:dyDescent="0.3">
      <c r="A29" s="189" t="s">
        <v>308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>
        <f t="shared" si="3"/>
        <v>0</v>
      </c>
      <c r="Y29" s="18">
        <f>M29</f>
        <v>0</v>
      </c>
      <c r="AJ29" s="234">
        <v>1730</v>
      </c>
      <c r="AK29">
        <v>2000</v>
      </c>
    </row>
    <row r="30" spans="1:37" x14ac:dyDescent="0.3">
      <c r="A30" s="189" t="s">
        <v>323</v>
      </c>
      <c r="B30" s="26">
        <v>10</v>
      </c>
      <c r="C30" s="27"/>
      <c r="D30" s="27"/>
      <c r="E30" s="27"/>
      <c r="F30" s="27">
        <v>55</v>
      </c>
      <c r="G30" s="27"/>
      <c r="H30" s="27"/>
      <c r="I30" s="27"/>
      <c r="J30" s="27"/>
      <c r="K30" s="27"/>
      <c r="L30" s="27"/>
      <c r="M30" s="28">
        <f t="shared" si="3"/>
        <v>65</v>
      </c>
      <c r="Y30" s="18">
        <f>M30</f>
        <v>65</v>
      </c>
      <c r="AJ30" s="234">
        <v>1730</v>
      </c>
      <c r="AK30">
        <v>200</v>
      </c>
    </row>
    <row r="31" spans="1:37" hidden="1" x14ac:dyDescent="0.3">
      <c r="A31" s="29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>
        <f t="shared" si="3"/>
        <v>0</v>
      </c>
      <c r="X31" s="18">
        <f t="shared" ref="X31:X52" si="5">M31</f>
        <v>0</v>
      </c>
      <c r="AJ31" s="234">
        <v>1200</v>
      </c>
    </row>
    <row r="32" spans="1:37" hidden="1" x14ac:dyDescent="0.3">
      <c r="A32" s="29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>
        <f t="shared" si="3"/>
        <v>0</v>
      </c>
      <c r="X32" s="18">
        <f t="shared" si="5"/>
        <v>0</v>
      </c>
      <c r="AJ32" s="234"/>
    </row>
    <row r="33" spans="1:36" hidden="1" x14ac:dyDescent="0.3">
      <c r="A33" s="29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>
        <f t="shared" si="3"/>
        <v>0</v>
      </c>
      <c r="X33" s="18">
        <f t="shared" si="5"/>
        <v>0</v>
      </c>
      <c r="AJ33" s="234"/>
    </row>
    <row r="34" spans="1:36" hidden="1" x14ac:dyDescent="0.3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>
        <f t="shared" si="3"/>
        <v>0</v>
      </c>
      <c r="X34" s="18">
        <f t="shared" si="5"/>
        <v>0</v>
      </c>
      <c r="AJ34" s="234"/>
    </row>
    <row r="35" spans="1:36" hidden="1" x14ac:dyDescent="0.3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>
        <f t="shared" si="3"/>
        <v>0</v>
      </c>
      <c r="X35" s="18">
        <f t="shared" si="5"/>
        <v>0</v>
      </c>
      <c r="AJ35" s="234"/>
    </row>
    <row r="36" spans="1:36" hidden="1" x14ac:dyDescent="0.3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f t="shared" si="3"/>
        <v>0</v>
      </c>
      <c r="X36" s="18">
        <f t="shared" si="5"/>
        <v>0</v>
      </c>
      <c r="AJ36" s="234"/>
    </row>
    <row r="37" spans="1:36" hidden="1" x14ac:dyDescent="0.3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>
        <f t="shared" si="3"/>
        <v>0</v>
      </c>
      <c r="X37" s="18">
        <f t="shared" si="5"/>
        <v>0</v>
      </c>
      <c r="AJ37" s="234"/>
    </row>
    <row r="38" spans="1:36" hidden="1" x14ac:dyDescent="0.3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>
        <f t="shared" si="3"/>
        <v>0</v>
      </c>
      <c r="X38" s="18">
        <f t="shared" si="5"/>
        <v>0</v>
      </c>
      <c r="AJ38" s="234"/>
    </row>
    <row r="39" spans="1:36" hidden="1" x14ac:dyDescent="0.3">
      <c r="A39" s="141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>
        <f t="shared" si="3"/>
        <v>0</v>
      </c>
      <c r="X39" s="18">
        <f t="shared" si="5"/>
        <v>0</v>
      </c>
      <c r="AJ39" s="234"/>
    </row>
    <row r="40" spans="1:36" hidden="1" x14ac:dyDescent="0.3">
      <c r="A40" s="25"/>
      <c r="B40" s="26"/>
      <c r="C40" s="27"/>
      <c r="D40" s="27"/>
      <c r="E40" s="27"/>
      <c r="F40" s="27"/>
      <c r="G40" s="27"/>
      <c r="I40" s="27"/>
      <c r="J40" s="27"/>
      <c r="K40" s="27"/>
      <c r="L40" s="27"/>
      <c r="M40" s="28">
        <f t="shared" si="3"/>
        <v>0</v>
      </c>
      <c r="X40" s="18">
        <f t="shared" si="5"/>
        <v>0</v>
      </c>
      <c r="AJ40" s="234"/>
    </row>
    <row r="41" spans="1:36" hidden="1" x14ac:dyDescent="0.3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>
        <f t="shared" si="3"/>
        <v>0</v>
      </c>
      <c r="X41" s="18">
        <f t="shared" si="5"/>
        <v>0</v>
      </c>
      <c r="AJ41" s="234"/>
    </row>
    <row r="42" spans="1:36" hidden="1" x14ac:dyDescent="0.3">
      <c r="A42" s="145"/>
      <c r="B42" s="26"/>
      <c r="C42" s="27"/>
      <c r="D42" s="27"/>
      <c r="E42" s="27"/>
      <c r="F42" s="27"/>
      <c r="G42" s="27"/>
      <c r="H42" s="115"/>
      <c r="I42" s="27"/>
      <c r="K42" s="27"/>
      <c r="L42" s="27"/>
      <c r="M42" s="28">
        <f t="shared" ref="M42:M53" si="6">SUM(B42:L42)</f>
        <v>0</v>
      </c>
      <c r="X42" s="18">
        <f t="shared" si="5"/>
        <v>0</v>
      </c>
      <c r="AJ42" s="234"/>
    </row>
    <row r="43" spans="1:36" hidden="1" x14ac:dyDescent="0.3">
      <c r="A43" s="25"/>
      <c r="B43" s="26"/>
      <c r="C43" s="27"/>
      <c r="D43" s="27"/>
      <c r="E43" s="27"/>
      <c r="F43" s="27"/>
      <c r="G43" s="27"/>
      <c r="H43" s="27"/>
      <c r="I43" s="114"/>
      <c r="J43" s="27"/>
      <c r="K43" s="27"/>
      <c r="L43" s="27"/>
      <c r="M43" s="28">
        <f t="shared" si="6"/>
        <v>0</v>
      </c>
      <c r="X43" s="18">
        <f t="shared" si="5"/>
        <v>0</v>
      </c>
      <c r="AJ43" s="234"/>
    </row>
    <row r="44" spans="1:36" hidden="1" x14ac:dyDescent="0.3">
      <c r="A44" s="142"/>
      <c r="B44" s="26"/>
      <c r="C44" s="27"/>
      <c r="D44" s="27"/>
      <c r="E44" s="27"/>
      <c r="F44" s="27"/>
      <c r="G44" s="27"/>
      <c r="H44" s="121"/>
      <c r="I44" s="114"/>
      <c r="J44" s="27"/>
      <c r="K44" s="27"/>
      <c r="L44" s="27"/>
      <c r="M44" s="28">
        <f t="shared" si="6"/>
        <v>0</v>
      </c>
      <c r="X44" s="18">
        <f t="shared" si="5"/>
        <v>0</v>
      </c>
      <c r="AJ44" s="234"/>
    </row>
    <row r="45" spans="1:36" hidden="1" x14ac:dyDescent="0.3">
      <c r="A45" s="29"/>
      <c r="B45" s="26"/>
      <c r="C45" s="27"/>
      <c r="D45" s="27"/>
      <c r="E45" s="27"/>
      <c r="F45" s="27"/>
      <c r="G45" s="27"/>
      <c r="H45" s="121"/>
      <c r="I45" s="114"/>
      <c r="J45" s="27"/>
      <c r="K45" s="27"/>
      <c r="L45" s="27"/>
      <c r="M45" s="28">
        <f t="shared" si="6"/>
        <v>0</v>
      </c>
      <c r="X45" s="18">
        <f t="shared" si="5"/>
        <v>0</v>
      </c>
      <c r="AJ45" s="234"/>
    </row>
    <row r="46" spans="1:36" hidden="1" x14ac:dyDescent="0.3">
      <c r="A46" s="143"/>
      <c r="B46" s="26"/>
      <c r="C46" s="27"/>
      <c r="D46" s="27"/>
      <c r="E46" s="27"/>
      <c r="F46" s="27"/>
      <c r="G46" s="27"/>
      <c r="H46" s="27"/>
      <c r="I46" s="114"/>
      <c r="J46" s="27"/>
      <c r="K46" s="27"/>
      <c r="L46" s="27"/>
      <c r="M46" s="28">
        <f t="shared" si="6"/>
        <v>0</v>
      </c>
      <c r="X46" s="18">
        <f t="shared" si="5"/>
        <v>0</v>
      </c>
      <c r="AJ46" s="234"/>
    </row>
    <row r="47" spans="1:36" hidden="1" x14ac:dyDescent="0.3">
      <c r="A47" s="25"/>
      <c r="B47" s="26"/>
      <c r="C47" s="27"/>
      <c r="D47" s="27"/>
      <c r="E47" s="27"/>
      <c r="F47" s="27"/>
      <c r="G47" s="27"/>
      <c r="H47" s="116"/>
      <c r="I47" s="114"/>
      <c r="J47" s="27"/>
      <c r="K47" s="27"/>
      <c r="L47" s="27"/>
      <c r="M47" s="28">
        <f>SUM(B47:L47)</f>
        <v>0</v>
      </c>
      <c r="X47" s="18">
        <f t="shared" si="5"/>
        <v>0</v>
      </c>
      <c r="AJ47" s="234"/>
    </row>
    <row r="48" spans="1:36" hidden="1" x14ac:dyDescent="0.3">
      <c r="A48" s="143"/>
      <c r="B48" s="139"/>
      <c r="C48" s="27"/>
      <c r="D48" s="27"/>
      <c r="E48" s="27"/>
      <c r="F48" s="27"/>
      <c r="G48" s="27"/>
      <c r="H48" s="116"/>
      <c r="I48" s="114"/>
      <c r="J48" s="27"/>
      <c r="K48" s="27"/>
      <c r="L48" s="27"/>
      <c r="M48" s="28">
        <f>SUM(B48:L48)</f>
        <v>0</v>
      </c>
      <c r="X48" s="18">
        <f t="shared" si="5"/>
        <v>0</v>
      </c>
      <c r="AJ48" s="234"/>
    </row>
    <row r="49" spans="1:37" hidden="1" x14ac:dyDescent="0.3">
      <c r="A49" s="143"/>
      <c r="B49" s="139"/>
      <c r="C49" s="27"/>
      <c r="D49" s="27"/>
      <c r="E49" s="27"/>
      <c r="F49" s="27"/>
      <c r="G49" s="27"/>
      <c r="H49" s="116"/>
      <c r="I49" s="114"/>
      <c r="J49" s="27"/>
      <c r="K49" s="27"/>
      <c r="L49" s="27"/>
      <c r="M49" s="28">
        <f>SUM(B49:L49)</f>
        <v>0</v>
      </c>
      <c r="X49" s="18">
        <f t="shared" si="5"/>
        <v>0</v>
      </c>
      <c r="AJ49" s="234"/>
    </row>
    <row r="50" spans="1:37" hidden="1" x14ac:dyDescent="0.3">
      <c r="A50" s="143"/>
      <c r="B50" s="139"/>
      <c r="C50" s="27"/>
      <c r="D50" s="27"/>
      <c r="E50" s="27"/>
      <c r="F50" s="27"/>
      <c r="G50" s="27"/>
      <c r="H50" s="116"/>
      <c r="I50" s="114"/>
      <c r="J50" s="27"/>
      <c r="K50" s="27"/>
      <c r="L50" s="27"/>
      <c r="M50" s="28">
        <f>SUM(B50:L50)</f>
        <v>0</v>
      </c>
      <c r="X50" s="18">
        <f t="shared" si="5"/>
        <v>0</v>
      </c>
      <c r="AJ50" s="234"/>
    </row>
    <row r="51" spans="1:37" hidden="1" x14ac:dyDescent="0.3">
      <c r="A51" s="143"/>
      <c r="B51" s="139"/>
      <c r="C51" s="27"/>
      <c r="D51" s="27"/>
      <c r="E51" s="27"/>
      <c r="F51" s="27"/>
      <c r="G51" s="27"/>
      <c r="H51" s="116"/>
      <c r="I51" s="114"/>
      <c r="J51" s="27"/>
      <c r="K51" s="27"/>
      <c r="L51" s="27"/>
      <c r="M51" s="28">
        <f>SUM(B51:L51)</f>
        <v>0</v>
      </c>
      <c r="X51" s="18">
        <f t="shared" si="5"/>
        <v>0</v>
      </c>
      <c r="AJ51" s="234"/>
    </row>
    <row r="52" spans="1:37" ht="12.9" hidden="1" thickBot="1" x14ac:dyDescent="0.35">
      <c r="A52" s="144"/>
      <c r="B52" s="139"/>
      <c r="C52" s="27"/>
      <c r="D52" s="27"/>
      <c r="E52" s="27"/>
      <c r="F52" s="27"/>
      <c r="G52" s="27"/>
      <c r="H52" s="116"/>
      <c r="I52" s="114"/>
      <c r="J52" s="27"/>
      <c r="K52" s="27"/>
      <c r="L52" s="27"/>
      <c r="M52" s="28">
        <f t="shared" si="6"/>
        <v>0</v>
      </c>
      <c r="X52" s="18">
        <f t="shared" si="5"/>
        <v>0</v>
      </c>
      <c r="AJ52" s="234"/>
    </row>
    <row r="53" spans="1:37" s="4" customFormat="1" ht="12.9" thickBot="1" x14ac:dyDescent="0.35">
      <c r="A53" s="140" t="s">
        <v>10</v>
      </c>
      <c r="B53" s="36">
        <f t="shared" ref="B53:L53" si="7">SUM(B15:B52)</f>
        <v>7246.35</v>
      </c>
      <c r="C53" s="36">
        <f t="shared" si="7"/>
        <v>3711.78</v>
      </c>
      <c r="D53" s="36">
        <f t="shared" si="7"/>
        <v>2461.9700000000003</v>
      </c>
      <c r="E53" s="36">
        <f t="shared" si="7"/>
        <v>8286.35</v>
      </c>
      <c r="F53" s="36">
        <f t="shared" si="7"/>
        <v>6800.3200000000006</v>
      </c>
      <c r="G53" s="36">
        <f t="shared" si="7"/>
        <v>7144.4600000000009</v>
      </c>
      <c r="H53" s="36">
        <f t="shared" si="7"/>
        <v>6620.82</v>
      </c>
      <c r="I53" s="36">
        <f t="shared" si="7"/>
        <v>16132.25</v>
      </c>
      <c r="J53" s="36">
        <f t="shared" si="7"/>
        <v>9684.66</v>
      </c>
      <c r="K53" s="36">
        <f t="shared" si="7"/>
        <v>7411.91</v>
      </c>
      <c r="L53" s="36">
        <f t="shared" si="7"/>
        <v>0</v>
      </c>
      <c r="M53" s="32">
        <f t="shared" si="6"/>
        <v>75500.87000000001</v>
      </c>
      <c r="Q53"/>
      <c r="R53" s="23">
        <v>1</v>
      </c>
      <c r="S53" s="23">
        <v>4</v>
      </c>
      <c r="T53" s="23" t="s">
        <v>325</v>
      </c>
      <c r="U53" s="23" t="s">
        <v>326</v>
      </c>
      <c r="V53" s="4" t="s">
        <v>327</v>
      </c>
      <c r="W53" s="4" t="s">
        <v>328</v>
      </c>
      <c r="X53" s="4">
        <v>10</v>
      </c>
      <c r="Y53" s="4">
        <v>16</v>
      </c>
      <c r="AJ53" s="234">
        <v>1200</v>
      </c>
      <c r="AK53" s="4">
        <v>280</v>
      </c>
    </row>
    <row r="54" spans="1:37" s="4" customFormat="1" x14ac:dyDescent="0.3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R54" s="40">
        <f t="shared" ref="R54:Y54" si="8">SUM(R3:R52)</f>
        <v>57130.05999999999</v>
      </c>
      <c r="S54" s="40">
        <f t="shared" si="8"/>
        <v>0</v>
      </c>
      <c r="T54" s="40">
        <f t="shared" si="8"/>
        <v>35937.75</v>
      </c>
      <c r="U54" s="40">
        <f t="shared" si="8"/>
        <v>14127.27</v>
      </c>
      <c r="V54" s="40">
        <f t="shared" si="8"/>
        <v>43800.62</v>
      </c>
      <c r="W54" s="40">
        <f t="shared" si="8"/>
        <v>0</v>
      </c>
      <c r="X54" s="40">
        <f t="shared" si="8"/>
        <v>59474.15</v>
      </c>
      <c r="Y54" s="40">
        <f t="shared" si="8"/>
        <v>1899.4499999999998</v>
      </c>
      <c r="AJ54" s="235">
        <v>68</v>
      </c>
      <c r="AK54">
        <v>402.72</v>
      </c>
    </row>
    <row r="55" spans="1:37" x14ac:dyDescent="0.3">
      <c r="A55" s="4" t="s">
        <v>43</v>
      </c>
      <c r="C55" s="18"/>
      <c r="M55" s="19"/>
      <c r="N55" s="18"/>
      <c r="O55" s="35" t="s">
        <v>44</v>
      </c>
      <c r="P55" s="18"/>
      <c r="Q55" s="38" t="s">
        <v>329</v>
      </c>
      <c r="R55" s="146">
        <f>T54+V54</f>
        <v>79738.37</v>
      </c>
      <c r="S55" s="4"/>
      <c r="T55" s="35" t="s">
        <v>331</v>
      </c>
      <c r="U55" s="40" t="e">
        <f>#REF!+#REF!</f>
        <v>#REF!</v>
      </c>
      <c r="V55" s="4"/>
      <c r="W55" s="4"/>
      <c r="X55" s="4"/>
      <c r="Y55" s="4"/>
      <c r="AJ55" s="235">
        <v>36</v>
      </c>
    </row>
    <row r="56" spans="1:37" x14ac:dyDescent="0.3">
      <c r="A56" s="187" t="s">
        <v>555</v>
      </c>
      <c r="C56" s="18"/>
      <c r="M56" s="41">
        <v>206914.9</v>
      </c>
      <c r="N56" s="18"/>
      <c r="O56" s="35" t="s">
        <v>0</v>
      </c>
      <c r="P56" s="185">
        <f>'Team Accounts'!AI29</f>
        <v>116563.93799999998</v>
      </c>
      <c r="Q56" s="38" t="s">
        <v>330</v>
      </c>
      <c r="R56" s="40" t="e">
        <f>T54+U55</f>
        <v>#REF!</v>
      </c>
      <c r="T56" s="4" t="s">
        <v>332</v>
      </c>
      <c r="U56" s="40">
        <f>U54</f>
        <v>14127.27</v>
      </c>
      <c r="AJ56" s="234">
        <v>402.72</v>
      </c>
    </row>
    <row r="57" spans="1:37" x14ac:dyDescent="0.3">
      <c r="A57" s="4" t="s">
        <v>422</v>
      </c>
      <c r="C57" s="18"/>
      <c r="M57" s="186">
        <v>0</v>
      </c>
      <c r="N57" s="18"/>
      <c r="O57" s="35" t="s">
        <v>42</v>
      </c>
      <c r="P57" s="35">
        <v>11000</v>
      </c>
      <c r="Q57" s="18"/>
      <c r="R57" s="18"/>
      <c r="AJ57" s="234">
        <v>1000</v>
      </c>
    </row>
    <row r="58" spans="1:37" x14ac:dyDescent="0.3">
      <c r="A58" s="4" t="s">
        <v>11</v>
      </c>
      <c r="C58" s="18"/>
      <c r="M58" s="186">
        <f>K13</f>
        <v>8285.5799999999981</v>
      </c>
      <c r="N58" s="18"/>
      <c r="O58" s="35" t="s">
        <v>845</v>
      </c>
      <c r="P58" s="35">
        <v>3500</v>
      </c>
      <c r="Q58" s="18"/>
      <c r="R58" s="18"/>
      <c r="AJ58" s="234"/>
      <c r="AK58">
        <f>SUM(AK24:AK57)</f>
        <v>5140</v>
      </c>
    </row>
    <row r="59" spans="1:37" x14ac:dyDescent="0.3">
      <c r="A59" s="4" t="s">
        <v>45</v>
      </c>
      <c r="C59" s="18"/>
      <c r="M59" s="186">
        <f>K53</f>
        <v>7411.91</v>
      </c>
      <c r="N59" s="18"/>
      <c r="O59" s="35" t="s">
        <v>62</v>
      </c>
      <c r="P59" s="35">
        <v>0</v>
      </c>
      <c r="Q59" s="18"/>
      <c r="R59" s="18"/>
      <c r="AJ59" s="234"/>
    </row>
    <row r="60" spans="1:37" x14ac:dyDescent="0.3">
      <c r="A60" s="188" t="s">
        <v>556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1">
        <f>+M56+M57+M58-M59</f>
        <v>207788.56999999998</v>
      </c>
      <c r="N60" s="18"/>
      <c r="O60" s="35"/>
      <c r="P60" s="35"/>
      <c r="Q60" s="18"/>
      <c r="R60" s="18"/>
      <c r="AJ60" s="234"/>
    </row>
    <row r="61" spans="1:37" ht="12.9" thickBot="1" x14ac:dyDescent="0.35">
      <c r="A61" s="4" t="s">
        <v>423</v>
      </c>
      <c r="C61" s="18"/>
      <c r="M61" s="41">
        <v>0</v>
      </c>
      <c r="N61" s="18"/>
      <c r="O61" s="18"/>
      <c r="P61" s="40"/>
      <c r="Q61" s="18"/>
      <c r="R61" s="18"/>
      <c r="AJ61" s="234"/>
    </row>
    <row r="62" spans="1:37" ht="12.9" thickTop="1" x14ac:dyDescent="0.3">
      <c r="A62" s="55" t="s">
        <v>59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41">
        <f>M61+M60</f>
        <v>207788.56999999998</v>
      </c>
      <c r="N62" s="18"/>
      <c r="O62" s="18"/>
      <c r="P62" s="40"/>
      <c r="Q62" s="18"/>
      <c r="R62" s="18"/>
    </row>
    <row r="63" spans="1:37" x14ac:dyDescent="0.3">
      <c r="A63" s="4" t="s">
        <v>60</v>
      </c>
      <c r="C63" s="18"/>
      <c r="M63" s="56">
        <f>-P64</f>
        <v>-131063.93799999998</v>
      </c>
      <c r="N63" s="18"/>
      <c r="O63" s="18"/>
      <c r="P63" s="40"/>
      <c r="Q63" s="18"/>
      <c r="R63" s="18"/>
      <c r="AE63" s="59"/>
      <c r="AJ63" s="192">
        <f>AJ23-AJ24-AJ25-AJ26-AJ27-AJ28-AJ29-AJ30-AJ53-AJ54-AJ55-AJ56-AJ57-AJ61</f>
        <v>136260.79999999999</v>
      </c>
      <c r="AK63" s="192">
        <f>AJ63+AK58</f>
        <v>141400.79999999999</v>
      </c>
    </row>
    <row r="64" spans="1:37" x14ac:dyDescent="0.3">
      <c r="A64" s="4"/>
      <c r="C64" s="18"/>
      <c r="M64" s="41"/>
      <c r="N64" s="18"/>
      <c r="O64" s="42" t="s">
        <v>10</v>
      </c>
      <c r="P64" s="35">
        <f>SUM(P55:P62)</f>
        <v>131063.93799999998</v>
      </c>
      <c r="Q64" s="18"/>
      <c r="R64" s="18"/>
      <c r="AE64" s="59"/>
      <c r="AK64">
        <v>402.72</v>
      </c>
    </row>
    <row r="65" spans="1:37" x14ac:dyDescent="0.3">
      <c r="A65" s="4" t="s">
        <v>61</v>
      </c>
      <c r="C65" s="18"/>
      <c r="M65" s="41">
        <f>M62+M63</f>
        <v>76724.631999999998</v>
      </c>
      <c r="O65" s="42"/>
      <c r="P65" s="35"/>
      <c r="AK65">
        <v>36</v>
      </c>
    </row>
    <row r="66" spans="1:37" x14ac:dyDescent="0.3">
      <c r="AK66">
        <v>1200</v>
      </c>
    </row>
    <row r="67" spans="1:37" x14ac:dyDescent="0.3">
      <c r="AK67">
        <v>42.88</v>
      </c>
    </row>
    <row r="68" spans="1:37" x14ac:dyDescent="0.3">
      <c r="O68" s="4" t="s">
        <v>655</v>
      </c>
      <c r="P68" s="184">
        <f>+M65/P64</f>
        <v>0.58539849458819104</v>
      </c>
      <c r="AK68">
        <v>100.28</v>
      </c>
    </row>
    <row r="69" spans="1:37" x14ac:dyDescent="0.3">
      <c r="AK69">
        <v>30</v>
      </c>
    </row>
    <row r="70" spans="1:37" x14ac:dyDescent="0.3">
      <c r="AK70">
        <v>30</v>
      </c>
    </row>
    <row r="71" spans="1:37" x14ac:dyDescent="0.3">
      <c r="O71" s="202" t="s">
        <v>939</v>
      </c>
      <c r="P71" s="156"/>
    </row>
    <row r="72" spans="1:37" x14ac:dyDescent="0.3">
      <c r="O72" s="203" t="s">
        <v>823</v>
      </c>
      <c r="P72" s="204">
        <f>+M6+M7+M8</f>
        <v>88219.549999999988</v>
      </c>
    </row>
    <row r="73" spans="1:37" x14ac:dyDescent="0.3">
      <c r="O73" s="203" t="s">
        <v>37</v>
      </c>
      <c r="P73" s="204">
        <f>+M19+M28+M29</f>
        <v>14509.92</v>
      </c>
    </row>
    <row r="74" spans="1:37" x14ac:dyDescent="0.3">
      <c r="O74" s="203"/>
      <c r="P74" s="204"/>
    </row>
    <row r="75" spans="1:37" x14ac:dyDescent="0.3">
      <c r="O75" s="203" t="s">
        <v>11</v>
      </c>
      <c r="P75" s="204">
        <f>+P72-P73</f>
        <v>73709.62999999999</v>
      </c>
    </row>
    <row r="76" spans="1:37" x14ac:dyDescent="0.3">
      <c r="G76" s="201"/>
      <c r="H76" s="201"/>
      <c r="I76" s="201"/>
      <c r="M76" s="201"/>
    </row>
  </sheetData>
  <mergeCells count="1">
    <mergeCell ref="A1:X1"/>
  </mergeCells>
  <phoneticPr fontId="5" type="noConversion"/>
  <hyperlinks>
    <hyperlink ref="O13" r:id="rId1"/>
    <hyperlink ref="O16" r:id="rId2"/>
  </hyperlinks>
  <pageMargins left="0.75" right="0.75" top="1" bottom="1" header="0.5" footer="0.5"/>
  <pageSetup scale="65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33"/>
  <sheetViews>
    <sheetView zoomScale="80" zoomScaleNormal="80" workbookViewId="0">
      <pane xSplit="1" topLeftCell="X1" activePane="topRight" state="frozen"/>
      <selection pane="topRight" activeCell="AE28" sqref="AE28"/>
    </sheetView>
  </sheetViews>
  <sheetFormatPr defaultColWidth="9.15234375" defaultRowHeight="15" outlineLevelCol="1" x14ac:dyDescent="0.35"/>
  <cols>
    <col min="1" max="1" width="22.69140625" style="5" customWidth="1"/>
    <col min="2" max="2" width="15.3046875" style="5" customWidth="1"/>
    <col min="3" max="3" width="13.3046875" style="5" customWidth="1"/>
    <col min="4" max="4" width="13.15234375" style="3" customWidth="1"/>
    <col min="5" max="5" width="14" style="5" customWidth="1"/>
    <col min="6" max="6" width="13.53515625" style="5" customWidth="1"/>
    <col min="7" max="7" width="15" style="3" customWidth="1"/>
    <col min="8" max="9" width="14.3046875" style="5" customWidth="1"/>
    <col min="10" max="10" width="12.69140625" style="3" customWidth="1"/>
    <col min="11" max="11" width="14.15234375" style="5" customWidth="1" outlineLevel="1"/>
    <col min="12" max="12" width="12.53515625" style="5" customWidth="1" outlineLevel="1"/>
    <col min="13" max="13" width="13.15234375" style="3" customWidth="1" outlineLevel="1"/>
    <col min="14" max="14" width="15.15234375" style="5" customWidth="1" outlineLevel="1"/>
    <col min="15" max="15" width="11.3828125" style="5" customWidth="1" outlineLevel="1"/>
    <col min="16" max="16" width="14.69140625" style="3" customWidth="1" outlineLevel="1"/>
    <col min="17" max="17" width="15.15234375" style="5" customWidth="1" outlineLevel="1"/>
    <col min="18" max="18" width="12.84375" style="5" customWidth="1" outlineLevel="1"/>
    <col min="19" max="19" width="15" style="3" customWidth="1" outlineLevel="1"/>
    <col min="20" max="20" width="14.15234375" style="5" customWidth="1" outlineLevel="1"/>
    <col min="21" max="21" width="14.15234375" style="12" customWidth="1" outlineLevel="1"/>
    <col min="22" max="22" width="12.3828125" style="12" customWidth="1" outlineLevel="1"/>
    <col min="23" max="23" width="14" style="12" customWidth="1" outlineLevel="1"/>
    <col min="24" max="24" width="14.3828125" style="12" customWidth="1" outlineLevel="1"/>
    <col min="25" max="25" width="13.3828125" style="12" customWidth="1" outlineLevel="1"/>
    <col min="26" max="26" width="16.84375" style="12" customWidth="1" outlineLevel="1"/>
    <col min="27" max="27" width="12.69140625" style="12" customWidth="1" outlineLevel="1"/>
    <col min="28" max="28" width="13.3046875" style="12" customWidth="1" outlineLevel="1"/>
    <col min="29" max="29" width="16.15234375" style="12" customWidth="1" outlineLevel="1"/>
    <col min="30" max="30" width="13.3828125" style="12" customWidth="1" outlineLevel="1"/>
    <col min="31" max="31" width="14" style="12" customWidth="1" outlineLevel="1"/>
    <col min="32" max="32" width="16.84375" style="12" customWidth="1" outlineLevel="1"/>
    <col min="33" max="33" width="13.69140625" style="12" customWidth="1" outlineLevel="1"/>
    <col min="34" max="34" width="14.3046875" style="12" customWidth="1" outlineLevel="1"/>
    <col min="35" max="35" width="16.15234375" style="12" customWidth="1"/>
    <col min="36" max="36" width="8" style="12" customWidth="1"/>
    <col min="37" max="38" width="14.3828125" style="5" customWidth="1"/>
    <col min="39" max="16384" width="9.15234375" style="5"/>
  </cols>
  <sheetData>
    <row r="1" spans="1:48" ht="15.45" x14ac:dyDescent="0.4">
      <c r="A1" s="250" t="s">
        <v>954</v>
      </c>
      <c r="B1" s="251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</row>
    <row r="2" spans="1:48" ht="15.9" thickBot="1" x14ac:dyDescent="0.45">
      <c r="A2" s="253"/>
      <c r="B2" s="254"/>
      <c r="C2" s="252" t="s">
        <v>49</v>
      </c>
      <c r="D2" s="252"/>
      <c r="F2" s="252" t="s">
        <v>50</v>
      </c>
      <c r="G2" s="252"/>
      <c r="I2" s="252" t="s">
        <v>51</v>
      </c>
      <c r="J2" s="252"/>
      <c r="L2" s="252" t="s">
        <v>52</v>
      </c>
      <c r="M2" s="252"/>
      <c r="O2" s="252" t="s">
        <v>53</v>
      </c>
      <c r="P2" s="252"/>
      <c r="R2" s="252" t="s">
        <v>54</v>
      </c>
      <c r="S2" s="252"/>
      <c r="U2" s="13" t="s">
        <v>55</v>
      </c>
      <c r="V2" s="13"/>
      <c r="X2" s="17" t="s">
        <v>56</v>
      </c>
      <c r="Y2" s="17"/>
      <c r="AA2" s="17" t="s">
        <v>57</v>
      </c>
      <c r="AB2" s="17"/>
      <c r="AD2" s="17" t="s">
        <v>58</v>
      </c>
      <c r="AE2" s="17"/>
      <c r="AG2" s="17" t="s">
        <v>565</v>
      </c>
      <c r="AH2" s="17"/>
    </row>
    <row r="3" spans="1:48" ht="15.9" thickBot="1" x14ac:dyDescent="0.45">
      <c r="A3" s="6" t="s">
        <v>1</v>
      </c>
      <c r="B3" s="7" t="s">
        <v>48</v>
      </c>
      <c r="C3" s="57" t="s">
        <v>11</v>
      </c>
      <c r="D3" s="8" t="s">
        <v>12</v>
      </c>
      <c r="E3" s="9" t="s">
        <v>2</v>
      </c>
      <c r="F3" s="7" t="s">
        <v>11</v>
      </c>
      <c r="G3" s="8" t="s">
        <v>12</v>
      </c>
      <c r="H3" s="9" t="s">
        <v>2</v>
      </c>
      <c r="I3" s="7" t="s">
        <v>11</v>
      </c>
      <c r="J3" s="8" t="s">
        <v>12</v>
      </c>
      <c r="K3" s="9" t="s">
        <v>2</v>
      </c>
      <c r="L3" s="7" t="s">
        <v>11</v>
      </c>
      <c r="M3" s="8" t="s">
        <v>12</v>
      </c>
      <c r="N3" s="9" t="s">
        <v>2</v>
      </c>
      <c r="O3" s="7" t="s">
        <v>11</v>
      </c>
      <c r="P3" s="8" t="s">
        <v>12</v>
      </c>
      <c r="Q3" s="9" t="s">
        <v>2</v>
      </c>
      <c r="R3" s="7" t="s">
        <v>11</v>
      </c>
      <c r="S3" s="8" t="s">
        <v>12</v>
      </c>
      <c r="T3" s="9" t="s">
        <v>2</v>
      </c>
      <c r="U3" s="15" t="s">
        <v>11</v>
      </c>
      <c r="V3" s="14" t="s">
        <v>12</v>
      </c>
      <c r="W3" s="16" t="s">
        <v>2</v>
      </c>
      <c r="X3" s="15" t="s">
        <v>11</v>
      </c>
      <c r="Y3" s="14" t="s">
        <v>12</v>
      </c>
      <c r="Z3" s="16" t="s">
        <v>2</v>
      </c>
      <c r="AA3" s="15" t="s">
        <v>11</v>
      </c>
      <c r="AB3" s="14" t="s">
        <v>12</v>
      </c>
      <c r="AC3" s="16" t="s">
        <v>2</v>
      </c>
      <c r="AD3" s="15" t="s">
        <v>11</v>
      </c>
      <c r="AE3" s="14" t="s">
        <v>12</v>
      </c>
      <c r="AF3" s="16" t="s">
        <v>2</v>
      </c>
      <c r="AG3" s="15" t="s">
        <v>11</v>
      </c>
      <c r="AH3" s="14" t="s">
        <v>12</v>
      </c>
      <c r="AI3" s="52" t="s">
        <v>2</v>
      </c>
      <c r="AJ3" s="49"/>
      <c r="AK3" s="50" t="s">
        <v>47</v>
      </c>
      <c r="AL3" s="43" t="s">
        <v>46</v>
      </c>
    </row>
    <row r="4" spans="1:48" s="46" customFormat="1" ht="15.45" x14ac:dyDescent="0.4">
      <c r="A4" s="44"/>
      <c r="B4" s="138">
        <v>41091</v>
      </c>
      <c r="C4" s="45"/>
      <c r="E4" s="47">
        <v>41517</v>
      </c>
      <c r="F4" s="45"/>
      <c r="H4" s="47">
        <v>41182</v>
      </c>
      <c r="I4" s="45"/>
      <c r="K4" s="47">
        <v>41213</v>
      </c>
      <c r="L4" s="45"/>
      <c r="N4" s="47">
        <v>41243</v>
      </c>
      <c r="O4" s="45"/>
      <c r="Q4" s="47">
        <v>41639</v>
      </c>
      <c r="T4" s="47">
        <v>41305</v>
      </c>
      <c r="W4" s="47">
        <v>40967</v>
      </c>
      <c r="X4" s="240"/>
      <c r="Z4" s="47">
        <v>41364</v>
      </c>
      <c r="AC4" s="47">
        <v>41394</v>
      </c>
      <c r="AF4" s="47">
        <v>41425</v>
      </c>
      <c r="AI4" s="47">
        <v>41455</v>
      </c>
      <c r="AJ4" s="48"/>
      <c r="AK4" s="92"/>
      <c r="AL4" s="93"/>
    </row>
    <row r="5" spans="1:48" x14ac:dyDescent="0.35">
      <c r="A5" s="10" t="s">
        <v>3</v>
      </c>
      <c r="B5" s="123">
        <v>922.35</v>
      </c>
      <c r="C5" s="134"/>
      <c r="D5" s="122"/>
      <c r="E5" s="123">
        <f>+B5+C5-D5</f>
        <v>922.35</v>
      </c>
      <c r="F5" s="122"/>
      <c r="G5" s="122"/>
      <c r="H5" s="123">
        <f>+E5+F5-G5</f>
        <v>922.35</v>
      </c>
      <c r="I5" s="135">
        <v>48.85</v>
      </c>
      <c r="J5" s="122"/>
      <c r="K5" s="123">
        <f>+H5+I5-J5</f>
        <v>971.2</v>
      </c>
      <c r="L5" s="134"/>
      <c r="M5" s="122"/>
      <c r="N5" s="123">
        <f>+K5+L5-M5</f>
        <v>971.2</v>
      </c>
      <c r="O5" s="134"/>
      <c r="P5" s="122"/>
      <c r="Q5" s="123">
        <f>+N5+O5-P5</f>
        <v>971.2</v>
      </c>
      <c r="R5" s="122">
        <v>95.67</v>
      </c>
      <c r="S5" s="122"/>
      <c r="T5" s="123">
        <f>+Q5+R5-S5</f>
        <v>1066.8700000000001</v>
      </c>
      <c r="U5" s="122">
        <v>95.6</v>
      </c>
      <c r="V5" s="122"/>
      <c r="W5" s="123">
        <f>+T5+U5-V5</f>
        <v>1162.47</v>
      </c>
      <c r="X5" s="124">
        <f>1553.34+2700.52</f>
        <v>4253.8599999999997</v>
      </c>
      <c r="Y5" s="122"/>
      <c r="Z5" s="123">
        <f>+W5+X5-Y5</f>
        <v>5416.33</v>
      </c>
      <c r="AA5" s="122"/>
      <c r="AB5" s="122">
        <v>561.38</v>
      </c>
      <c r="AC5" s="123">
        <f>+Z5+AA5-AB5</f>
        <v>4854.95</v>
      </c>
      <c r="AD5" s="122"/>
      <c r="AE5" s="196"/>
      <c r="AF5" s="123">
        <f>+AC5+AD5-AE5</f>
        <v>4854.95</v>
      </c>
      <c r="AG5" s="122"/>
      <c r="AH5" s="122"/>
      <c r="AI5" s="123">
        <f>+AF5+AG5-AH5</f>
        <v>4854.95</v>
      </c>
      <c r="AJ5" s="134"/>
      <c r="AK5" s="130">
        <f>SUM(AG5,AD5,AA5,X5,U5,R5,O5,L5,I5,F5,C5)</f>
        <v>4493.9800000000005</v>
      </c>
      <c r="AL5" s="131">
        <f>SUM(AH5,AE5,AB5,Y5,V5,S5,P5,M5,J5,G5,D5)</f>
        <v>561.38</v>
      </c>
    </row>
    <row r="6" spans="1:48" x14ac:dyDescent="0.35">
      <c r="A6" s="10" t="s">
        <v>828</v>
      </c>
      <c r="B6" s="123">
        <v>657.79</v>
      </c>
      <c r="C6" s="134">
        <v>940</v>
      </c>
      <c r="D6" s="122"/>
      <c r="E6" s="123">
        <f>+B6+C6-D6</f>
        <v>1597.79</v>
      </c>
      <c r="F6" s="122"/>
      <c r="G6" s="122"/>
      <c r="H6" s="123">
        <f>+E6+F6-G6</f>
        <v>1597.79</v>
      </c>
      <c r="I6" s="135">
        <f>23.95+1040+71.69</f>
        <v>1135.6400000000001</v>
      </c>
      <c r="J6" s="122"/>
      <c r="K6" s="123">
        <f>+H6+I6-J6</f>
        <v>2733.4300000000003</v>
      </c>
      <c r="L6" s="134">
        <f>3495+800</f>
        <v>4295</v>
      </c>
      <c r="M6" s="124">
        <v>4587.32</v>
      </c>
      <c r="N6" s="123">
        <f>+K6+L6-M6</f>
        <v>2441.1100000000006</v>
      </c>
      <c r="O6" s="134">
        <f>1650+500+2000+200</f>
        <v>4350</v>
      </c>
      <c r="P6" s="122">
        <f>1200+1000</f>
        <v>2200</v>
      </c>
      <c r="Q6" s="123">
        <f t="shared" ref="Q6:Q27" si="0">+N6+O6-P6</f>
        <v>4591.1100000000006</v>
      </c>
      <c r="R6" s="122"/>
      <c r="S6" s="122">
        <f>150+239.9</f>
        <v>389.9</v>
      </c>
      <c r="T6" s="123">
        <f>+Q6+R6-S6</f>
        <v>4201.2100000000009</v>
      </c>
      <c r="U6" s="122">
        <v>500</v>
      </c>
      <c r="V6" s="122">
        <v>1000</v>
      </c>
      <c r="W6" s="123">
        <f>+T6+U6-V6</f>
        <v>3701.2100000000009</v>
      </c>
      <c r="X6" s="124">
        <f>1250+2421.1+1200.23</f>
        <v>4871.33</v>
      </c>
      <c r="Y6" s="122">
        <v>1773.27</v>
      </c>
      <c r="Z6" s="123">
        <f>+W6+X6-Y6</f>
        <v>6799.27</v>
      </c>
      <c r="AA6" s="122"/>
      <c r="AB6" s="122"/>
      <c r="AC6" s="123">
        <f>+Z6+AA6-AB6</f>
        <v>6799.27</v>
      </c>
      <c r="AD6" s="122"/>
      <c r="AE6" s="122"/>
      <c r="AF6" s="123">
        <f>+AC6+AD6-AE6</f>
        <v>6799.27</v>
      </c>
      <c r="AG6" s="122"/>
      <c r="AH6" s="122"/>
      <c r="AI6" s="123">
        <f>+AF6+AG6-AH6</f>
        <v>6799.27</v>
      </c>
      <c r="AJ6" s="134"/>
      <c r="AK6" s="130">
        <f t="shared" ref="AK6:AK27" si="1">SUM(AG6,AD6,AA6,X6,U6,R6,O6,L6,I6,F6,C6)</f>
        <v>16091.97</v>
      </c>
      <c r="AL6" s="131">
        <f>SUM(AH6,AE6,AB6,Y6,V6,S6,P6,M6,J6,G6,D6)</f>
        <v>9950.49</v>
      </c>
    </row>
    <row r="7" spans="1:48" x14ac:dyDescent="0.35">
      <c r="A7" s="1" t="s">
        <v>829</v>
      </c>
      <c r="B7" s="123">
        <v>3002.73</v>
      </c>
      <c r="C7" s="134"/>
      <c r="D7" s="122"/>
      <c r="E7" s="123">
        <f t="shared" ref="E7:E12" si="2">+B7+C7-D7</f>
        <v>3002.73</v>
      </c>
      <c r="F7" s="134">
        <f>287.78+47.67+23.77+47.7</f>
        <v>406.91999999999996</v>
      </c>
      <c r="G7" s="122"/>
      <c r="H7" s="123">
        <f t="shared" ref="H7:H12" si="3">+E7+F7-G7</f>
        <v>3409.65</v>
      </c>
      <c r="I7" s="135">
        <f>478.46+25+430.72+2630+335.15</f>
        <v>3899.3300000000004</v>
      </c>
      <c r="J7" s="122">
        <v>297.83999999999997</v>
      </c>
      <c r="K7" s="123">
        <f t="shared" ref="K7:K12" si="4">+H7+I7-J7</f>
        <v>7011.14</v>
      </c>
      <c r="L7" s="134">
        <v>47.67</v>
      </c>
      <c r="M7" s="122">
        <f>1166+260</f>
        <v>1426</v>
      </c>
      <c r="N7" s="123">
        <f t="shared" ref="N7:N12" si="5">+K7+L7-M7</f>
        <v>5632.81</v>
      </c>
      <c r="O7" s="134"/>
      <c r="P7" s="122"/>
      <c r="Q7" s="123">
        <f t="shared" si="0"/>
        <v>5632.81</v>
      </c>
      <c r="R7" s="122"/>
      <c r="S7" s="122"/>
      <c r="T7" s="123">
        <f t="shared" ref="T7:T12" si="6">+Q7+R7-S7</f>
        <v>5632.81</v>
      </c>
      <c r="U7" s="122">
        <v>47.86</v>
      </c>
      <c r="V7" s="122"/>
      <c r="W7" s="123">
        <f t="shared" ref="W7:W12" si="7">+T7+U7-V7</f>
        <v>5680.67</v>
      </c>
      <c r="X7" s="124">
        <f>623.2</f>
        <v>623.20000000000005</v>
      </c>
      <c r="Y7" s="122"/>
      <c r="Z7" s="123">
        <f t="shared" ref="Z7:Z12" si="8">+W7+X7-Y7</f>
        <v>6303.87</v>
      </c>
      <c r="AA7" s="122"/>
      <c r="AB7" s="122"/>
      <c r="AC7" s="123">
        <f t="shared" ref="AC7:AC12" si="9">+Z7+AA7-AB7</f>
        <v>6303.87</v>
      </c>
      <c r="AD7" s="122"/>
      <c r="AE7" s="122"/>
      <c r="AF7" s="123">
        <f t="shared" ref="AF7:AF12" si="10">+AC7+AD7-AE7</f>
        <v>6303.87</v>
      </c>
      <c r="AG7" s="122"/>
      <c r="AH7" s="122"/>
      <c r="AI7" s="123">
        <f t="shared" ref="AI7:AI12" si="11">+AF7+AG7-AH7</f>
        <v>6303.87</v>
      </c>
      <c r="AJ7" s="134"/>
      <c r="AK7" s="130">
        <f t="shared" si="1"/>
        <v>5024.9800000000005</v>
      </c>
      <c r="AL7" s="131">
        <f t="shared" ref="AL7:AL27" si="12">SUM(AH7,AE7,AB7,Y7,V7,S7,P7,M7,J7,G7,D7)</f>
        <v>1723.84</v>
      </c>
    </row>
    <row r="8" spans="1:48" x14ac:dyDescent="0.35">
      <c r="A8" s="1" t="s">
        <v>830</v>
      </c>
      <c r="B8" s="123">
        <v>2639.07</v>
      </c>
      <c r="C8" s="134"/>
      <c r="D8" s="122"/>
      <c r="E8" s="123">
        <f t="shared" si="2"/>
        <v>2639.07</v>
      </c>
      <c r="F8" s="134"/>
      <c r="G8" s="122"/>
      <c r="H8" s="123">
        <f t="shared" si="3"/>
        <v>2639.07</v>
      </c>
      <c r="I8" s="135"/>
      <c r="J8" s="122"/>
      <c r="K8" s="123">
        <f t="shared" si="4"/>
        <v>2639.07</v>
      </c>
      <c r="L8" s="134"/>
      <c r="M8" s="122"/>
      <c r="N8" s="123">
        <f t="shared" si="5"/>
        <v>2639.07</v>
      </c>
      <c r="O8" s="134"/>
      <c r="P8" s="122"/>
      <c r="Q8" s="123">
        <f t="shared" si="0"/>
        <v>2639.07</v>
      </c>
      <c r="R8" s="122"/>
      <c r="S8" s="122"/>
      <c r="T8" s="123">
        <f t="shared" si="6"/>
        <v>2639.07</v>
      </c>
      <c r="U8" s="122"/>
      <c r="V8" s="122"/>
      <c r="W8" s="123">
        <f t="shared" si="7"/>
        <v>2639.07</v>
      </c>
      <c r="X8" s="124">
        <f>3835.4+1592.61+100</f>
        <v>5528.01</v>
      </c>
      <c r="Y8" s="122"/>
      <c r="Z8" s="123">
        <f t="shared" si="8"/>
        <v>8167.08</v>
      </c>
      <c r="AA8" s="122"/>
      <c r="AB8" s="122"/>
      <c r="AC8" s="123">
        <f t="shared" si="9"/>
        <v>8167.08</v>
      </c>
      <c r="AD8" s="122"/>
      <c r="AE8" s="197"/>
      <c r="AF8" s="123">
        <f t="shared" si="10"/>
        <v>8167.08</v>
      </c>
      <c r="AG8" s="122"/>
      <c r="AH8" s="122"/>
      <c r="AI8" s="123">
        <f t="shared" si="11"/>
        <v>8167.08</v>
      </c>
      <c r="AJ8" s="134"/>
      <c r="AK8" s="130">
        <f t="shared" si="1"/>
        <v>5528.01</v>
      </c>
      <c r="AL8" s="131">
        <f t="shared" si="12"/>
        <v>0</v>
      </c>
    </row>
    <row r="9" spans="1:48" x14ac:dyDescent="0.35">
      <c r="A9" s="1" t="s">
        <v>831</v>
      </c>
      <c r="B9" s="123">
        <v>6350.63</v>
      </c>
      <c r="C9" s="134"/>
      <c r="D9" s="122"/>
      <c r="E9" s="123">
        <f t="shared" si="2"/>
        <v>6350.63</v>
      </c>
      <c r="F9" s="134">
        <v>95.4</v>
      </c>
      <c r="G9" s="122"/>
      <c r="H9" s="123">
        <f t="shared" si="3"/>
        <v>6446.03</v>
      </c>
      <c r="I9" s="135">
        <v>47.74</v>
      </c>
      <c r="J9" s="122"/>
      <c r="K9" s="123">
        <f t="shared" si="4"/>
        <v>6493.7699999999995</v>
      </c>
      <c r="L9" s="134"/>
      <c r="M9" s="122"/>
      <c r="N9" s="123">
        <f t="shared" si="5"/>
        <v>6493.7699999999995</v>
      </c>
      <c r="O9" s="134"/>
      <c r="P9" s="122"/>
      <c r="Q9" s="123">
        <f t="shared" si="0"/>
        <v>6493.7699999999995</v>
      </c>
      <c r="R9" s="122"/>
      <c r="S9" s="122"/>
      <c r="T9" s="123">
        <f t="shared" si="6"/>
        <v>6493.7699999999995</v>
      </c>
      <c r="U9" s="122"/>
      <c r="V9" s="122"/>
      <c r="W9" s="123">
        <f t="shared" si="7"/>
        <v>6493.7699999999995</v>
      </c>
      <c r="X9" s="124">
        <f>478.7+143.76+230.81</f>
        <v>853.27</v>
      </c>
      <c r="Y9" s="122"/>
      <c r="Z9" s="123">
        <f t="shared" si="8"/>
        <v>7347.0399999999991</v>
      </c>
      <c r="AA9" s="122">
        <f>1200+440+3650</f>
        <v>5290</v>
      </c>
      <c r="AB9" s="122">
        <f>1500+1122.85+511.9+175.32</f>
        <v>3310.07</v>
      </c>
      <c r="AC9" s="123">
        <f t="shared" si="9"/>
        <v>9326.9699999999993</v>
      </c>
      <c r="AD9" s="122">
        <f>150+150+6474.94</f>
        <v>6774.94</v>
      </c>
      <c r="AE9" s="122">
        <f>305.95+5000</f>
        <v>5305.95</v>
      </c>
      <c r="AF9" s="123">
        <f t="shared" si="10"/>
        <v>10795.96</v>
      </c>
      <c r="AG9" s="122"/>
      <c r="AH9" s="122"/>
      <c r="AI9" s="123">
        <f t="shared" si="11"/>
        <v>10795.96</v>
      </c>
      <c r="AJ9" s="134"/>
      <c r="AK9" s="130">
        <f t="shared" si="1"/>
        <v>13061.349999999999</v>
      </c>
      <c r="AL9" s="131">
        <f t="shared" si="12"/>
        <v>8616.02</v>
      </c>
    </row>
    <row r="10" spans="1:48" x14ac:dyDescent="0.35">
      <c r="A10" s="1" t="s">
        <v>832</v>
      </c>
      <c r="B10" s="123">
        <v>2035.7</v>
      </c>
      <c r="C10" s="134"/>
      <c r="D10" s="122"/>
      <c r="E10" s="123">
        <f t="shared" si="2"/>
        <v>2035.7</v>
      </c>
      <c r="F10" s="134">
        <v>47.7</v>
      </c>
      <c r="G10" s="122"/>
      <c r="H10" s="123">
        <f t="shared" si="3"/>
        <v>2083.4</v>
      </c>
      <c r="I10" s="135">
        <f>47.41+28.71</f>
        <v>76.12</v>
      </c>
      <c r="J10" s="122"/>
      <c r="K10" s="123">
        <f t="shared" si="4"/>
        <v>2159.52</v>
      </c>
      <c r="L10" s="134"/>
      <c r="M10" s="122"/>
      <c r="N10" s="123">
        <f t="shared" si="5"/>
        <v>2159.52</v>
      </c>
      <c r="O10" s="134"/>
      <c r="P10" s="122"/>
      <c r="Q10" s="123">
        <f t="shared" si="0"/>
        <v>2159.52</v>
      </c>
      <c r="R10" s="122">
        <v>143.5</v>
      </c>
      <c r="S10" s="122">
        <v>1999</v>
      </c>
      <c r="T10" s="123">
        <f t="shared" si="6"/>
        <v>304.02</v>
      </c>
      <c r="U10" s="122">
        <f>47.8+95.68</f>
        <v>143.48000000000002</v>
      </c>
      <c r="V10" s="122"/>
      <c r="W10" s="123">
        <f t="shared" si="7"/>
        <v>447.5</v>
      </c>
      <c r="X10" s="124">
        <f>95.83+692.44+500</f>
        <v>1288.27</v>
      </c>
      <c r="Y10" s="122"/>
      <c r="Z10" s="123">
        <f t="shared" si="8"/>
        <v>1735.77</v>
      </c>
      <c r="AA10" s="122"/>
      <c r="AB10" s="122"/>
      <c r="AC10" s="123">
        <f t="shared" si="9"/>
        <v>1735.77</v>
      </c>
      <c r="AD10" s="122"/>
      <c r="AE10" s="122"/>
      <c r="AF10" s="123">
        <f t="shared" si="10"/>
        <v>1735.77</v>
      </c>
      <c r="AG10" s="122"/>
      <c r="AH10" s="122"/>
      <c r="AI10" s="123">
        <f t="shared" si="11"/>
        <v>1735.77</v>
      </c>
      <c r="AJ10" s="134"/>
      <c r="AK10" s="130">
        <f t="shared" si="1"/>
        <v>1699.07</v>
      </c>
      <c r="AL10" s="131">
        <f t="shared" si="12"/>
        <v>1999</v>
      </c>
    </row>
    <row r="11" spans="1:48" x14ac:dyDescent="0.35">
      <c r="A11" s="1" t="s">
        <v>833</v>
      </c>
      <c r="B11" s="123">
        <v>2320.36</v>
      </c>
      <c r="C11" s="134"/>
      <c r="D11" s="122"/>
      <c r="E11" s="123">
        <f t="shared" si="2"/>
        <v>2320.36</v>
      </c>
      <c r="F11" s="134"/>
      <c r="G11" s="122"/>
      <c r="H11" s="123">
        <f t="shared" si="3"/>
        <v>2320.36</v>
      </c>
      <c r="I11" s="135"/>
      <c r="J11" s="122"/>
      <c r="K11" s="123">
        <f t="shared" si="4"/>
        <v>2320.36</v>
      </c>
      <c r="L11" s="134"/>
      <c r="M11" s="122"/>
      <c r="N11" s="123">
        <f t="shared" si="5"/>
        <v>2320.36</v>
      </c>
      <c r="O11" s="134"/>
      <c r="P11" s="122"/>
      <c r="Q11" s="123">
        <f t="shared" si="0"/>
        <v>2320.36</v>
      </c>
      <c r="R11" s="122"/>
      <c r="S11" s="122"/>
      <c r="T11" s="123">
        <f t="shared" si="6"/>
        <v>2320.36</v>
      </c>
      <c r="U11" s="122">
        <f>95.68+95.73</f>
        <v>191.41000000000003</v>
      </c>
      <c r="V11" s="122"/>
      <c r="W11" s="123">
        <f t="shared" si="7"/>
        <v>2511.77</v>
      </c>
      <c r="X11" s="124">
        <f>95.74+47.92+95.7+738.6</f>
        <v>977.96</v>
      </c>
      <c r="Y11" s="122">
        <v>1241.68</v>
      </c>
      <c r="Z11" s="123">
        <f t="shared" si="8"/>
        <v>2248.0500000000002</v>
      </c>
      <c r="AA11" s="122">
        <v>142.61000000000001</v>
      </c>
      <c r="AB11" s="122"/>
      <c r="AC11" s="123">
        <f t="shared" si="9"/>
        <v>2390.6600000000003</v>
      </c>
      <c r="AD11" s="122"/>
      <c r="AE11" s="122"/>
      <c r="AF11" s="123">
        <f t="shared" si="10"/>
        <v>2390.6600000000003</v>
      </c>
      <c r="AG11" s="122"/>
      <c r="AH11" s="122"/>
      <c r="AI11" s="123">
        <f t="shared" si="11"/>
        <v>2390.6600000000003</v>
      </c>
      <c r="AJ11" s="134"/>
      <c r="AK11" s="130">
        <f t="shared" si="1"/>
        <v>1311.9800000000002</v>
      </c>
      <c r="AL11" s="131">
        <f t="shared" si="12"/>
        <v>1241.68</v>
      </c>
    </row>
    <row r="12" spans="1:48" x14ac:dyDescent="0.35">
      <c r="A12" s="1" t="s">
        <v>834</v>
      </c>
      <c r="B12" s="123">
        <v>3212.88</v>
      </c>
      <c r="C12" s="134"/>
      <c r="D12" s="122"/>
      <c r="E12" s="123">
        <f t="shared" si="2"/>
        <v>3212.88</v>
      </c>
      <c r="F12" s="134"/>
      <c r="G12" s="122"/>
      <c r="H12" s="123">
        <f t="shared" si="3"/>
        <v>3212.88</v>
      </c>
      <c r="I12" s="135"/>
      <c r="J12" s="196"/>
      <c r="K12" s="123">
        <f t="shared" si="4"/>
        <v>3212.88</v>
      </c>
      <c r="L12" s="134"/>
      <c r="M12" s="122"/>
      <c r="N12" s="123">
        <f t="shared" si="5"/>
        <v>3212.88</v>
      </c>
      <c r="O12" s="134"/>
      <c r="P12" s="122"/>
      <c r="Q12" s="123">
        <f t="shared" si="0"/>
        <v>3212.88</v>
      </c>
      <c r="R12" s="122">
        <v>191.75</v>
      </c>
      <c r="S12" s="197"/>
      <c r="T12" s="123">
        <f t="shared" si="6"/>
        <v>3404.63</v>
      </c>
      <c r="U12" s="122"/>
      <c r="V12" s="197"/>
      <c r="W12" s="123">
        <f t="shared" si="7"/>
        <v>3404.63</v>
      </c>
      <c r="X12" s="124">
        <f>992.5</f>
        <v>992.5</v>
      </c>
      <c r="Y12" s="197"/>
      <c r="Z12" s="123">
        <f t="shared" si="8"/>
        <v>4397.13</v>
      </c>
      <c r="AA12" s="122"/>
      <c r="AB12" s="197"/>
      <c r="AC12" s="123">
        <f t="shared" si="9"/>
        <v>4397.13</v>
      </c>
      <c r="AD12" s="122"/>
      <c r="AE12" s="122"/>
      <c r="AF12" s="123">
        <f t="shared" si="10"/>
        <v>4397.13</v>
      </c>
      <c r="AG12" s="122"/>
      <c r="AH12" s="122"/>
      <c r="AI12" s="123">
        <f t="shared" si="11"/>
        <v>4397.13</v>
      </c>
      <c r="AJ12" s="134"/>
      <c r="AK12" s="130">
        <f t="shared" si="1"/>
        <v>1184.25</v>
      </c>
      <c r="AL12" s="131">
        <f t="shared" si="12"/>
        <v>0</v>
      </c>
    </row>
    <row r="13" spans="1:48" x14ac:dyDescent="0.35">
      <c r="A13" s="10" t="s">
        <v>4</v>
      </c>
      <c r="B13" s="123">
        <v>1645.07</v>
      </c>
      <c r="C13" s="134"/>
      <c r="D13" s="122"/>
      <c r="E13" s="123">
        <f>+B13+C13-D13</f>
        <v>1645.07</v>
      </c>
      <c r="F13" s="134"/>
      <c r="G13" s="122"/>
      <c r="H13" s="123">
        <f>+E13+F13-G13</f>
        <v>1645.07</v>
      </c>
      <c r="I13" s="135"/>
      <c r="J13" s="122"/>
      <c r="K13" s="123">
        <f>+H13+I13-J13</f>
        <v>1645.07</v>
      </c>
      <c r="L13" s="134"/>
      <c r="M13" s="122"/>
      <c r="N13" s="123">
        <f>+K13+L13-M13</f>
        <v>1645.07</v>
      </c>
      <c r="O13" s="134"/>
      <c r="P13" s="122"/>
      <c r="Q13" s="123">
        <f t="shared" si="0"/>
        <v>1645.07</v>
      </c>
      <c r="R13" s="122"/>
      <c r="S13" s="122"/>
      <c r="T13" s="123">
        <f t="shared" ref="T13:T28" si="13">+Q13+R13-S13</f>
        <v>1645.07</v>
      </c>
      <c r="U13" s="122"/>
      <c r="V13" s="122"/>
      <c r="W13" s="123">
        <f>+T13+U13-V13</f>
        <v>1645.07</v>
      </c>
      <c r="X13" s="124">
        <f>239.35+230.81</f>
        <v>470.15999999999997</v>
      </c>
      <c r="Y13" s="122"/>
      <c r="Z13" s="123">
        <f>+W13+X13-Y13</f>
        <v>2115.23</v>
      </c>
      <c r="AA13" s="122"/>
      <c r="AB13" s="122"/>
      <c r="AC13" s="123">
        <f>+Z13+AA13-AB13</f>
        <v>2115.23</v>
      </c>
      <c r="AD13" s="122"/>
      <c r="AE13" s="122"/>
      <c r="AF13" s="123">
        <f>+AC13+AD13-AE13</f>
        <v>2115.23</v>
      </c>
      <c r="AG13" s="122"/>
      <c r="AH13" s="122"/>
      <c r="AI13" s="123">
        <f>+AF13+AG13-AH13</f>
        <v>2115.23</v>
      </c>
      <c r="AJ13" s="134"/>
      <c r="AK13" s="130">
        <f t="shared" si="1"/>
        <v>470.15999999999997</v>
      </c>
      <c r="AL13" s="131">
        <f t="shared" si="12"/>
        <v>0</v>
      </c>
    </row>
    <row r="14" spans="1:48" x14ac:dyDescent="0.35">
      <c r="A14" s="10" t="s">
        <v>13</v>
      </c>
      <c r="B14" s="123">
        <v>2670.24</v>
      </c>
      <c r="C14" s="134"/>
      <c r="D14" s="122"/>
      <c r="E14" s="123">
        <f>+B14+C14-D14</f>
        <v>2670.24</v>
      </c>
      <c r="F14" s="134"/>
      <c r="G14" s="122"/>
      <c r="H14" s="123">
        <f>+E14+F14-G14</f>
        <v>2670.24</v>
      </c>
      <c r="I14" s="135"/>
      <c r="J14" s="122"/>
      <c r="K14" s="123">
        <f>+H14+I14-J14</f>
        <v>2670.24</v>
      </c>
      <c r="L14" s="134"/>
      <c r="M14" s="122"/>
      <c r="N14" s="123">
        <f>+K14+L14-M14</f>
        <v>2670.24</v>
      </c>
      <c r="O14" s="134"/>
      <c r="P14" s="122"/>
      <c r="Q14" s="123">
        <f t="shared" si="0"/>
        <v>2670.24</v>
      </c>
      <c r="R14" s="122"/>
      <c r="S14" s="122"/>
      <c r="T14" s="123">
        <f t="shared" si="13"/>
        <v>2670.24</v>
      </c>
      <c r="U14" s="122"/>
      <c r="V14" s="122"/>
      <c r="W14" s="123">
        <f>+T14+U14-V14</f>
        <v>2670.24</v>
      </c>
      <c r="X14" s="124">
        <f>184.65</f>
        <v>184.65</v>
      </c>
      <c r="Y14" s="122"/>
      <c r="Z14" s="123">
        <f>+W14+X14-Y14</f>
        <v>2854.89</v>
      </c>
      <c r="AA14" s="122"/>
      <c r="AB14" s="122"/>
      <c r="AC14" s="123">
        <f>+Z14+AA14-AB14</f>
        <v>2854.89</v>
      </c>
      <c r="AD14" s="122"/>
      <c r="AE14" s="122"/>
      <c r="AF14" s="123">
        <f>+AC14+AD14-AE14</f>
        <v>2854.89</v>
      </c>
      <c r="AG14" s="122"/>
      <c r="AH14" s="122"/>
      <c r="AI14" s="123">
        <f>+AF14+AG14-AH14</f>
        <v>2854.89</v>
      </c>
      <c r="AJ14" s="134"/>
      <c r="AK14" s="130">
        <f t="shared" si="1"/>
        <v>184.65</v>
      </c>
      <c r="AL14" s="131">
        <f t="shared" si="12"/>
        <v>0</v>
      </c>
    </row>
    <row r="15" spans="1:48" s="11" customFormat="1" x14ac:dyDescent="0.35">
      <c r="A15" s="10" t="s">
        <v>5</v>
      </c>
      <c r="B15" s="123">
        <v>3225.6</v>
      </c>
      <c r="C15" s="135">
        <f>671.69+750+383.85+287.8</f>
        <v>2093.34</v>
      </c>
      <c r="D15" s="124">
        <f>767+2604.35</f>
        <v>3371.35</v>
      </c>
      <c r="E15" s="137">
        <f>+B15+C15-D15</f>
        <v>1947.5900000000006</v>
      </c>
      <c r="F15" s="135">
        <f>287.8+527.59+650+485</f>
        <v>1950.39</v>
      </c>
      <c r="G15" s="124">
        <f>671.47+389.2+85.25+1680</f>
        <v>2825.92</v>
      </c>
      <c r="H15" s="123">
        <f>+E15+F15-G15</f>
        <v>1072.0600000000004</v>
      </c>
      <c r="I15" s="135">
        <f>950+2065.09+300</f>
        <v>3315.09</v>
      </c>
      <c r="J15" s="124">
        <v>525</v>
      </c>
      <c r="K15" s="123">
        <f>+H15+I15-J15</f>
        <v>3862.1500000000005</v>
      </c>
      <c r="L15" s="135">
        <v>540</v>
      </c>
      <c r="M15" s="124">
        <f>100.38+117.58</f>
        <v>217.95999999999998</v>
      </c>
      <c r="N15" s="137">
        <f t="shared" ref="N15:N28" si="14">+K15+L15-M15</f>
        <v>4184.1900000000005</v>
      </c>
      <c r="O15" s="135"/>
      <c r="P15" s="124"/>
      <c r="Q15" s="137">
        <f t="shared" si="0"/>
        <v>4184.1900000000005</v>
      </c>
      <c r="R15" s="124">
        <v>700</v>
      </c>
      <c r="S15" s="124">
        <v>1248.82</v>
      </c>
      <c r="T15" s="137">
        <f t="shared" si="13"/>
        <v>3635.3700000000008</v>
      </c>
      <c r="U15" s="124">
        <v>400</v>
      </c>
      <c r="V15" s="124">
        <v>695</v>
      </c>
      <c r="W15" s="123">
        <f>+T15+U15-V15</f>
        <v>3340.3700000000008</v>
      </c>
      <c r="X15" s="124">
        <f>200+2499.72+2746.68</f>
        <v>5446.4</v>
      </c>
      <c r="Y15" s="124"/>
      <c r="Z15" s="123">
        <f>+W15+X15-Y15</f>
        <v>8786.77</v>
      </c>
      <c r="AA15" s="124"/>
      <c r="AB15" s="124">
        <f>171.87+276.25</f>
        <v>448.12</v>
      </c>
      <c r="AC15" s="123">
        <f>+Z15+AA15-AB15</f>
        <v>8338.65</v>
      </c>
      <c r="AD15" s="124"/>
      <c r="AE15" s="124"/>
      <c r="AF15" s="123">
        <f>+AC15+AD15-AE15</f>
        <v>8338.65</v>
      </c>
      <c r="AG15" s="124"/>
      <c r="AH15" s="124"/>
      <c r="AI15" s="123">
        <f>+AF15+AG15-AH15</f>
        <v>8338.65</v>
      </c>
      <c r="AJ15" s="134"/>
      <c r="AK15" s="130">
        <f t="shared" si="1"/>
        <v>14445.22</v>
      </c>
      <c r="AL15" s="131">
        <f t="shared" si="12"/>
        <v>9332.17</v>
      </c>
    </row>
    <row r="16" spans="1:48" s="11" customFormat="1" x14ac:dyDescent="0.35">
      <c r="A16" s="10" t="s">
        <v>835</v>
      </c>
      <c r="B16" s="123">
        <v>7694.65</v>
      </c>
      <c r="C16" s="134">
        <f>30+30</f>
        <v>60</v>
      </c>
      <c r="D16" s="122"/>
      <c r="E16" s="123">
        <f t="shared" ref="E16:E22" si="15">+B16+C16-D16</f>
        <v>7754.65</v>
      </c>
      <c r="F16" s="122">
        <v>28.62</v>
      </c>
      <c r="G16" s="122"/>
      <c r="H16" s="123">
        <f t="shared" ref="H16:H22" si="16">+E16+F16-G16</f>
        <v>7783.2699999999995</v>
      </c>
      <c r="I16" s="135">
        <f>30+30</f>
        <v>60</v>
      </c>
      <c r="J16" s="122"/>
      <c r="K16" s="123">
        <f t="shared" ref="K16:K22" si="17">+H16+I16-J16</f>
        <v>7843.2699999999995</v>
      </c>
      <c r="L16" s="134"/>
      <c r="M16" s="124"/>
      <c r="N16" s="123">
        <f t="shared" ref="N16:N22" si="18">+K16+L16-M16</f>
        <v>7843.2699999999995</v>
      </c>
      <c r="O16" s="134">
        <v>30</v>
      </c>
      <c r="P16" s="122">
        <f>1730</f>
        <v>1730</v>
      </c>
      <c r="Q16" s="123">
        <f t="shared" si="0"/>
        <v>6143.2699999999995</v>
      </c>
      <c r="R16" s="122">
        <v>30</v>
      </c>
      <c r="S16" s="122">
        <v>379.59</v>
      </c>
      <c r="T16" s="123">
        <f t="shared" ref="T16:T22" si="19">+Q16+R16-S16</f>
        <v>5793.6799999999994</v>
      </c>
      <c r="U16" s="122"/>
      <c r="V16" s="122"/>
      <c r="W16" s="123">
        <f t="shared" ref="W16:W22" si="20">+T16+U16-V16</f>
        <v>5793.6799999999994</v>
      </c>
      <c r="X16" s="124">
        <f>30+410.39+1315.64</f>
        <v>1756.0300000000002</v>
      </c>
      <c r="Y16" s="122"/>
      <c r="Z16" s="123">
        <f t="shared" ref="Z16:Z22" si="21">+W16+X16-Y16</f>
        <v>7549.7099999999991</v>
      </c>
      <c r="AA16" s="122">
        <v>30</v>
      </c>
      <c r="AB16" s="122"/>
      <c r="AC16" s="123">
        <f t="shared" ref="AC16:AC22" si="22">+Z16+AA16-AB16</f>
        <v>7579.7099999999991</v>
      </c>
      <c r="AD16" s="122">
        <f>30+100</f>
        <v>130</v>
      </c>
      <c r="AE16" s="122"/>
      <c r="AF16" s="123">
        <f t="shared" ref="AF16:AF22" si="23">+AC16+AD16-AE16</f>
        <v>7709.7099999999991</v>
      </c>
      <c r="AG16" s="122"/>
      <c r="AH16" s="122"/>
      <c r="AI16" s="123">
        <f t="shared" ref="AI16:AI22" si="24">+AF16+AG16-AH16</f>
        <v>7709.7099999999991</v>
      </c>
      <c r="AJ16" s="134"/>
      <c r="AK16" s="130">
        <f t="shared" si="1"/>
        <v>2124.65</v>
      </c>
      <c r="AL16" s="131">
        <f t="shared" si="12"/>
        <v>2109.59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61" s="11" customFormat="1" x14ac:dyDescent="0.35">
      <c r="A17" s="10" t="s">
        <v>836</v>
      </c>
      <c r="B17" s="123">
        <v>3788.95</v>
      </c>
      <c r="C17" s="134"/>
      <c r="D17" s="122"/>
      <c r="E17" s="123">
        <f t="shared" si="15"/>
        <v>3788.95</v>
      </c>
      <c r="F17" s="135">
        <v>100</v>
      </c>
      <c r="G17" s="124">
        <f>49.35</f>
        <v>49.35</v>
      </c>
      <c r="H17" s="123">
        <f t="shared" si="16"/>
        <v>3839.6</v>
      </c>
      <c r="I17" s="135">
        <f>45.98+250+28.71+47.88</f>
        <v>372.57</v>
      </c>
      <c r="J17" s="122"/>
      <c r="K17" s="123">
        <f t="shared" si="17"/>
        <v>4212.17</v>
      </c>
      <c r="L17" s="134"/>
      <c r="M17" s="122">
        <v>402.72</v>
      </c>
      <c r="N17" s="123">
        <f t="shared" si="18"/>
        <v>3809.45</v>
      </c>
      <c r="O17" s="134">
        <f>57.28</f>
        <v>57.28</v>
      </c>
      <c r="P17" s="122">
        <f>-402.72+550+402.72</f>
        <v>550</v>
      </c>
      <c r="Q17" s="123">
        <f t="shared" si="0"/>
        <v>3316.73</v>
      </c>
      <c r="R17" s="122"/>
      <c r="S17" s="122"/>
      <c r="T17" s="123">
        <f t="shared" si="19"/>
        <v>3316.73</v>
      </c>
      <c r="U17" s="122">
        <f>47.88+143.6</f>
        <v>191.48</v>
      </c>
      <c r="V17" s="122"/>
      <c r="W17" s="123">
        <f t="shared" si="20"/>
        <v>3508.21</v>
      </c>
      <c r="X17" s="124">
        <f>95.82+346.22</f>
        <v>442.04</v>
      </c>
      <c r="Y17" s="122"/>
      <c r="Z17" s="123">
        <f t="shared" si="21"/>
        <v>3950.25</v>
      </c>
      <c r="AA17" s="122"/>
      <c r="AB17" s="122"/>
      <c r="AC17" s="123">
        <f t="shared" si="22"/>
        <v>3950.25</v>
      </c>
      <c r="AD17" s="122"/>
      <c r="AE17" s="122"/>
      <c r="AF17" s="123">
        <f t="shared" si="23"/>
        <v>3950.25</v>
      </c>
      <c r="AG17" s="122"/>
      <c r="AH17" s="122"/>
      <c r="AI17" s="123">
        <f t="shared" si="24"/>
        <v>3950.25</v>
      </c>
      <c r="AJ17" s="134"/>
      <c r="AK17" s="130">
        <f t="shared" si="1"/>
        <v>1163.3699999999999</v>
      </c>
      <c r="AL17" s="131">
        <f t="shared" si="12"/>
        <v>1002.07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61" s="11" customFormat="1" x14ac:dyDescent="0.35">
      <c r="A18" s="10" t="s">
        <v>837</v>
      </c>
      <c r="B18" s="123">
        <v>5584.08</v>
      </c>
      <c r="C18" s="134"/>
      <c r="D18" s="122"/>
      <c r="E18" s="123">
        <f t="shared" si="15"/>
        <v>5584.08</v>
      </c>
      <c r="F18" s="135"/>
      <c r="G18" s="124"/>
      <c r="H18" s="123">
        <f t="shared" si="16"/>
        <v>5584.08</v>
      </c>
      <c r="I18" s="135"/>
      <c r="J18" s="122"/>
      <c r="K18" s="123">
        <f t="shared" si="17"/>
        <v>5584.08</v>
      </c>
      <c r="L18" s="134"/>
      <c r="M18" s="124"/>
      <c r="N18" s="123">
        <f t="shared" si="18"/>
        <v>5584.08</v>
      </c>
      <c r="O18" s="134"/>
      <c r="P18" s="122"/>
      <c r="Q18" s="123">
        <f t="shared" si="0"/>
        <v>5584.08</v>
      </c>
      <c r="R18" s="122"/>
      <c r="S18" s="122">
        <v>1223.75</v>
      </c>
      <c r="T18" s="123">
        <f t="shared" si="19"/>
        <v>4360.33</v>
      </c>
      <c r="U18" s="122"/>
      <c r="V18" s="122"/>
      <c r="W18" s="123">
        <f t="shared" si="20"/>
        <v>4360.33</v>
      </c>
      <c r="X18" s="124">
        <f>20+479.12+71.87+479.43+461.63</f>
        <v>1512.0500000000002</v>
      </c>
      <c r="Y18" s="122">
        <v>282.66000000000003</v>
      </c>
      <c r="Z18" s="123">
        <f t="shared" si="21"/>
        <v>5589.72</v>
      </c>
      <c r="AA18" s="122"/>
      <c r="AB18" s="122">
        <f>555.54+106.91</f>
        <v>662.44999999999993</v>
      </c>
      <c r="AC18" s="123">
        <f t="shared" si="22"/>
        <v>4927.2700000000004</v>
      </c>
      <c r="AD18" s="122">
        <f>315.89+959.8</f>
        <v>1275.69</v>
      </c>
      <c r="AE18" s="122">
        <f>425</f>
        <v>425</v>
      </c>
      <c r="AF18" s="123">
        <f t="shared" si="23"/>
        <v>5777.9600000000009</v>
      </c>
      <c r="AG18" s="122"/>
      <c r="AH18" s="122"/>
      <c r="AI18" s="123">
        <f t="shared" si="24"/>
        <v>5777.9600000000009</v>
      </c>
      <c r="AJ18" s="134"/>
      <c r="AK18" s="130">
        <f t="shared" si="1"/>
        <v>2787.7400000000002</v>
      </c>
      <c r="AL18" s="131">
        <f t="shared" si="12"/>
        <v>2593.8599999999997</v>
      </c>
      <c r="AM18" s="5"/>
      <c r="AN18" s="5"/>
    </row>
    <row r="19" spans="1:61" s="11" customFormat="1" x14ac:dyDescent="0.35">
      <c r="A19" s="10" t="s">
        <v>838</v>
      </c>
      <c r="B19" s="123">
        <v>6948</v>
      </c>
      <c r="C19" s="134"/>
      <c r="D19" s="122"/>
      <c r="E19" s="123">
        <f t="shared" si="15"/>
        <v>6948</v>
      </c>
      <c r="F19" s="134">
        <v>71.56</v>
      </c>
      <c r="G19" s="122"/>
      <c r="H19" s="123">
        <f t="shared" si="16"/>
        <v>7019.56</v>
      </c>
      <c r="I19" s="135"/>
      <c r="J19" s="122"/>
      <c r="K19" s="123">
        <f t="shared" si="17"/>
        <v>7019.56</v>
      </c>
      <c r="L19" s="134"/>
      <c r="M19" s="122">
        <v>141.91999999999999</v>
      </c>
      <c r="N19" s="123">
        <f t="shared" si="18"/>
        <v>6877.64</v>
      </c>
      <c r="O19" s="134"/>
      <c r="P19" s="122">
        <f>126.62</f>
        <v>126.62</v>
      </c>
      <c r="Q19" s="123">
        <f t="shared" si="0"/>
        <v>6751.02</v>
      </c>
      <c r="R19" s="122"/>
      <c r="S19" s="122">
        <f>800+870</f>
        <v>1670</v>
      </c>
      <c r="T19" s="123">
        <f t="shared" si="19"/>
        <v>5081.0200000000004</v>
      </c>
      <c r="U19" s="122"/>
      <c r="V19" s="122"/>
      <c r="W19" s="123">
        <f t="shared" si="20"/>
        <v>5081.0200000000004</v>
      </c>
      <c r="X19" s="124">
        <f>143.61+830.93</f>
        <v>974.54</v>
      </c>
      <c r="Y19" s="122"/>
      <c r="Z19" s="123">
        <f t="shared" si="21"/>
        <v>6055.56</v>
      </c>
      <c r="AA19" s="122"/>
      <c r="AB19" s="122"/>
      <c r="AC19" s="123">
        <f t="shared" si="22"/>
        <v>6055.56</v>
      </c>
      <c r="AD19" s="122">
        <f>95.72</f>
        <v>95.72</v>
      </c>
      <c r="AE19" s="122"/>
      <c r="AF19" s="123">
        <f t="shared" si="23"/>
        <v>6151.2800000000007</v>
      </c>
      <c r="AG19" s="122"/>
      <c r="AH19" s="122"/>
      <c r="AI19" s="123">
        <f t="shared" si="24"/>
        <v>6151.2800000000007</v>
      </c>
      <c r="AJ19" s="134"/>
      <c r="AK19" s="130">
        <f t="shared" si="1"/>
        <v>1141.82</v>
      </c>
      <c r="AL19" s="131">
        <f t="shared" si="12"/>
        <v>1938.54</v>
      </c>
      <c r="AM19" s="5"/>
      <c r="AN19" s="5"/>
      <c r="AO19" s="5"/>
      <c r="AP19" s="5"/>
      <c r="AQ19" s="5"/>
      <c r="AR19" s="5"/>
      <c r="AS19" s="5"/>
      <c r="AT19" s="5"/>
    </row>
    <row r="20" spans="1:61" s="11" customFormat="1" x14ac:dyDescent="0.35">
      <c r="A20" s="10" t="s">
        <v>839</v>
      </c>
      <c r="B20" s="123">
        <v>7041.4</v>
      </c>
      <c r="C20" s="134"/>
      <c r="D20" s="122"/>
      <c r="E20" s="123">
        <f t="shared" si="15"/>
        <v>7041.4</v>
      </c>
      <c r="F20" s="134">
        <v>42.8</v>
      </c>
      <c r="G20" s="122"/>
      <c r="H20" s="123">
        <f t="shared" si="16"/>
        <v>7084.2</v>
      </c>
      <c r="I20" s="135"/>
      <c r="J20" s="122"/>
      <c r="K20" s="123">
        <f t="shared" si="17"/>
        <v>7084.2</v>
      </c>
      <c r="L20" s="134"/>
      <c r="M20" s="122"/>
      <c r="N20" s="123">
        <f t="shared" si="18"/>
        <v>7084.2</v>
      </c>
      <c r="O20" s="134"/>
      <c r="P20" s="122">
        <f>71.57</f>
        <v>71.569999999999993</v>
      </c>
      <c r="Q20" s="123">
        <f t="shared" si="0"/>
        <v>7012.63</v>
      </c>
      <c r="R20" s="122"/>
      <c r="S20" s="122"/>
      <c r="T20" s="123">
        <f t="shared" si="19"/>
        <v>7012.63</v>
      </c>
      <c r="U20" s="122">
        <v>191.47</v>
      </c>
      <c r="V20" s="122"/>
      <c r="W20" s="123">
        <f t="shared" si="20"/>
        <v>7204.1</v>
      </c>
      <c r="X20" s="124">
        <v>184.65</v>
      </c>
      <c r="Y20" s="122"/>
      <c r="Z20" s="123">
        <f t="shared" si="21"/>
        <v>7388.75</v>
      </c>
      <c r="AA20" s="122"/>
      <c r="AB20" s="122"/>
      <c r="AC20" s="123">
        <f t="shared" si="22"/>
        <v>7388.75</v>
      </c>
      <c r="AD20" s="122"/>
      <c r="AE20" s="122"/>
      <c r="AF20" s="123">
        <f t="shared" si="23"/>
        <v>7388.75</v>
      </c>
      <c r="AG20" s="122"/>
      <c r="AH20" s="122"/>
      <c r="AI20" s="123">
        <f t="shared" si="24"/>
        <v>7388.75</v>
      </c>
      <c r="AJ20" s="134"/>
      <c r="AK20" s="130">
        <f t="shared" si="1"/>
        <v>418.92</v>
      </c>
      <c r="AL20" s="131">
        <f t="shared" si="12"/>
        <v>71.569999999999993</v>
      </c>
      <c r="AM20" s="5"/>
      <c r="AN20" s="5"/>
      <c r="AO20" s="5"/>
      <c r="AP20" s="5"/>
      <c r="AQ20" s="5"/>
    </row>
    <row r="21" spans="1:61" s="11" customFormat="1" x14ac:dyDescent="0.35">
      <c r="A21" s="10" t="s">
        <v>840</v>
      </c>
      <c r="B21" s="123">
        <v>2260.41</v>
      </c>
      <c r="C21" s="134"/>
      <c r="D21" s="122"/>
      <c r="E21" s="123">
        <f t="shared" si="15"/>
        <v>2260.41</v>
      </c>
      <c r="F21" s="134">
        <v>23.85</v>
      </c>
      <c r="G21" s="122"/>
      <c r="H21" s="123">
        <f t="shared" si="16"/>
        <v>2284.2599999999998</v>
      </c>
      <c r="I21" s="135"/>
      <c r="J21" s="122"/>
      <c r="K21" s="123">
        <f t="shared" si="17"/>
        <v>2284.2599999999998</v>
      </c>
      <c r="L21" s="134"/>
      <c r="M21" s="122"/>
      <c r="N21" s="123">
        <f t="shared" si="18"/>
        <v>2284.2599999999998</v>
      </c>
      <c r="O21" s="134"/>
      <c r="P21" s="122"/>
      <c r="Q21" s="123">
        <f t="shared" si="0"/>
        <v>2284.2599999999998</v>
      </c>
      <c r="R21" s="122">
        <v>479.9</v>
      </c>
      <c r="S21" s="122"/>
      <c r="T21" s="123">
        <f t="shared" si="19"/>
        <v>2764.16</v>
      </c>
      <c r="U21" s="122"/>
      <c r="V21" s="122"/>
      <c r="W21" s="123">
        <f t="shared" si="20"/>
        <v>2764.16</v>
      </c>
      <c r="X21" s="124">
        <f>1000+335.41+95.7+530.87+1000</f>
        <v>2961.98</v>
      </c>
      <c r="Y21" s="122">
        <v>1241.67</v>
      </c>
      <c r="Z21" s="123">
        <f t="shared" si="21"/>
        <v>4484.4699999999993</v>
      </c>
      <c r="AA21" s="122">
        <f>143.37+142.61</f>
        <v>285.98</v>
      </c>
      <c r="AB21" s="122"/>
      <c r="AC21" s="123">
        <f t="shared" si="22"/>
        <v>4770.4499999999989</v>
      </c>
      <c r="AD21" s="122"/>
      <c r="AE21" s="122"/>
      <c r="AF21" s="123">
        <f t="shared" si="23"/>
        <v>4770.4499999999989</v>
      </c>
      <c r="AG21" s="122"/>
      <c r="AH21" s="122"/>
      <c r="AI21" s="123">
        <f t="shared" si="24"/>
        <v>4770.4499999999989</v>
      </c>
      <c r="AJ21" s="134"/>
      <c r="AK21" s="130">
        <f t="shared" si="1"/>
        <v>3751.71</v>
      </c>
      <c r="AL21" s="131">
        <f t="shared" si="12"/>
        <v>1241.67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1" customFormat="1" x14ac:dyDescent="0.35">
      <c r="A22" s="10" t="s">
        <v>841</v>
      </c>
      <c r="B22" s="123">
        <v>1286.1500000000001</v>
      </c>
      <c r="C22" s="134"/>
      <c r="D22" s="122"/>
      <c r="E22" s="123">
        <f t="shared" si="15"/>
        <v>1286.1500000000001</v>
      </c>
      <c r="F22" s="134"/>
      <c r="G22" s="122"/>
      <c r="H22" s="123">
        <f t="shared" si="16"/>
        <v>1286.1500000000001</v>
      </c>
      <c r="I22" s="135"/>
      <c r="J22" s="122"/>
      <c r="K22" s="123">
        <f t="shared" si="17"/>
        <v>1286.1500000000001</v>
      </c>
      <c r="L22" s="134"/>
      <c r="M22" s="122"/>
      <c r="N22" s="123">
        <f t="shared" si="18"/>
        <v>1286.1500000000001</v>
      </c>
      <c r="O22" s="134"/>
      <c r="P22" s="122"/>
      <c r="Q22" s="123">
        <f t="shared" si="0"/>
        <v>1286.1500000000001</v>
      </c>
      <c r="R22" s="122"/>
      <c r="S22" s="122"/>
      <c r="T22" s="123">
        <f t="shared" si="19"/>
        <v>1286.1500000000001</v>
      </c>
      <c r="U22" s="122"/>
      <c r="V22" s="122"/>
      <c r="W22" s="123">
        <f t="shared" si="20"/>
        <v>1286.1500000000001</v>
      </c>
      <c r="X22" s="124"/>
      <c r="Y22" s="122"/>
      <c r="Z22" s="123">
        <f t="shared" si="21"/>
        <v>1286.1500000000001</v>
      </c>
      <c r="AA22" s="122"/>
      <c r="AB22" s="122"/>
      <c r="AC22" s="123">
        <f t="shared" si="22"/>
        <v>1286.1500000000001</v>
      </c>
      <c r="AD22" s="122"/>
      <c r="AE22" s="122"/>
      <c r="AF22" s="123">
        <f t="shared" si="23"/>
        <v>1286.1500000000001</v>
      </c>
      <c r="AG22" s="122"/>
      <c r="AH22" s="122"/>
      <c r="AI22" s="123">
        <f t="shared" si="24"/>
        <v>1286.1500000000001</v>
      </c>
      <c r="AJ22" s="134"/>
      <c r="AK22" s="130">
        <f t="shared" si="1"/>
        <v>0</v>
      </c>
      <c r="AL22" s="131">
        <f t="shared" si="12"/>
        <v>0</v>
      </c>
      <c r="AM22" s="5"/>
      <c r="AN22" s="5"/>
      <c r="AO22" s="5"/>
      <c r="AP22" s="5"/>
      <c r="AQ22" s="5"/>
      <c r="AR22" s="5"/>
    </row>
    <row r="23" spans="1:61" x14ac:dyDescent="0.35">
      <c r="A23" s="10" t="s">
        <v>842</v>
      </c>
      <c r="B23" s="123">
        <v>1065.4100000000001</v>
      </c>
      <c r="C23" s="134">
        <v>1150</v>
      </c>
      <c r="D23" s="122">
        <v>2000</v>
      </c>
      <c r="E23" s="123">
        <f t="shared" ref="E23:E28" si="25">+B23+C23-D23</f>
        <v>215.40999999999985</v>
      </c>
      <c r="F23" s="134">
        <v>300</v>
      </c>
      <c r="G23" s="122">
        <f>331.25+315.01</f>
        <v>646.26</v>
      </c>
      <c r="H23" s="123">
        <f t="shared" ref="H23:H28" si="26">+E23+F23-G23</f>
        <v>-130.85000000000014</v>
      </c>
      <c r="I23" s="135">
        <f>1600+700</f>
        <v>2300</v>
      </c>
      <c r="J23" s="122">
        <v>639.13</v>
      </c>
      <c r="K23" s="123">
        <f t="shared" ref="K23:K28" si="27">+H23+I23-J23</f>
        <v>1530.0199999999995</v>
      </c>
      <c r="L23" s="134"/>
      <c r="M23" s="122">
        <v>149.05000000000001</v>
      </c>
      <c r="N23" s="123">
        <f t="shared" si="14"/>
        <v>1380.9699999999996</v>
      </c>
      <c r="O23" s="134"/>
      <c r="P23" s="122">
        <f>68+36</f>
        <v>104</v>
      </c>
      <c r="Q23" s="123">
        <f t="shared" si="0"/>
        <v>1276.9699999999996</v>
      </c>
      <c r="R23" s="122"/>
      <c r="S23" s="122"/>
      <c r="T23" s="123">
        <f t="shared" si="13"/>
        <v>1276.9699999999996</v>
      </c>
      <c r="U23" s="122">
        <v>191.47</v>
      </c>
      <c r="V23" s="122"/>
      <c r="W23" s="123">
        <f t="shared" ref="W23:W28" si="28">+T23+U23-V23</f>
        <v>1468.4399999999996</v>
      </c>
      <c r="X23" s="124">
        <f>23.93+2205.36+900.17</f>
        <v>3129.46</v>
      </c>
      <c r="Y23" s="122"/>
      <c r="Z23" s="123">
        <f t="shared" ref="Z23:Z28" si="29">+W23+X23-Y23</f>
        <v>4597.8999999999996</v>
      </c>
      <c r="AA23" s="122">
        <f>200</f>
        <v>200</v>
      </c>
      <c r="AB23" s="122"/>
      <c r="AC23" s="123">
        <f t="shared" ref="AC23:AC28" si="30">+Z23+AA23-AB23</f>
        <v>4797.8999999999996</v>
      </c>
      <c r="AD23" s="122"/>
      <c r="AE23" s="122"/>
      <c r="AF23" s="123">
        <f t="shared" ref="AF23:AF28" si="31">+AC23+AD23-AE23</f>
        <v>4797.8999999999996</v>
      </c>
      <c r="AG23" s="122"/>
      <c r="AH23" s="122"/>
      <c r="AI23" s="123">
        <f t="shared" ref="AI23:AI28" si="32">+AF23+AG23-AH23</f>
        <v>4797.8999999999996</v>
      </c>
      <c r="AJ23" s="134"/>
      <c r="AK23" s="130">
        <f t="shared" si="1"/>
        <v>7270.93</v>
      </c>
      <c r="AL23" s="131">
        <f t="shared" si="12"/>
        <v>3538.44</v>
      </c>
    </row>
    <row r="24" spans="1:61" x14ac:dyDescent="0.35">
      <c r="A24" s="10" t="s">
        <v>6</v>
      </c>
      <c r="B24" s="123">
        <v>2235.69</v>
      </c>
      <c r="C24" s="134"/>
      <c r="D24" s="122"/>
      <c r="E24" s="123">
        <f t="shared" si="25"/>
        <v>2235.69</v>
      </c>
      <c r="F24" s="134"/>
      <c r="G24" s="122"/>
      <c r="H24" s="123">
        <f t="shared" si="26"/>
        <v>2235.69</v>
      </c>
      <c r="I24" s="135">
        <v>71.84</v>
      </c>
      <c r="J24" s="122"/>
      <c r="K24" s="123">
        <f t="shared" si="27"/>
        <v>2307.5300000000002</v>
      </c>
      <c r="L24" s="134"/>
      <c r="M24" s="122"/>
      <c r="N24" s="123">
        <f t="shared" si="14"/>
        <v>2307.5300000000002</v>
      </c>
      <c r="O24" s="134"/>
      <c r="P24" s="122"/>
      <c r="Q24" s="123">
        <f t="shared" si="0"/>
        <v>2307.5300000000002</v>
      </c>
      <c r="R24" s="122"/>
      <c r="S24" s="122"/>
      <c r="T24" s="123">
        <f t="shared" si="13"/>
        <v>2307.5300000000002</v>
      </c>
      <c r="U24" s="122"/>
      <c r="V24" s="122"/>
      <c r="W24" s="123">
        <f t="shared" si="28"/>
        <v>2307.5300000000002</v>
      </c>
      <c r="X24" s="124">
        <f>10+1011.59</f>
        <v>1021.59</v>
      </c>
      <c r="Y24" s="122"/>
      <c r="Z24" s="123">
        <f t="shared" si="29"/>
        <v>3329.1200000000003</v>
      </c>
      <c r="AA24" s="122"/>
      <c r="AB24" s="122"/>
      <c r="AC24" s="123">
        <f t="shared" si="30"/>
        <v>3329.1200000000003</v>
      </c>
      <c r="AD24" s="122"/>
      <c r="AE24" s="122"/>
      <c r="AF24" s="123">
        <f t="shared" si="31"/>
        <v>3329.1200000000003</v>
      </c>
      <c r="AG24" s="122"/>
      <c r="AH24" s="122"/>
      <c r="AI24" s="123">
        <f t="shared" si="32"/>
        <v>3329.1200000000003</v>
      </c>
      <c r="AJ24" s="134"/>
      <c r="AK24" s="130">
        <f t="shared" si="1"/>
        <v>1093.43</v>
      </c>
      <c r="AL24" s="131">
        <f t="shared" si="12"/>
        <v>0</v>
      </c>
    </row>
    <row r="25" spans="1:61" x14ac:dyDescent="0.35">
      <c r="A25" s="10" t="s">
        <v>7</v>
      </c>
      <c r="B25" s="123">
        <v>2265.48</v>
      </c>
      <c r="C25" s="134"/>
      <c r="D25" s="122"/>
      <c r="E25" s="123">
        <f t="shared" si="25"/>
        <v>2265.48</v>
      </c>
      <c r="F25" s="134"/>
      <c r="G25" s="122"/>
      <c r="H25" s="123">
        <f t="shared" si="26"/>
        <v>2265.48</v>
      </c>
      <c r="I25" s="135"/>
      <c r="J25" s="122"/>
      <c r="K25" s="123">
        <f t="shared" si="27"/>
        <v>2265.48</v>
      </c>
      <c r="L25" s="134"/>
      <c r="M25" s="122"/>
      <c r="N25" s="123">
        <f t="shared" si="14"/>
        <v>2265.48</v>
      </c>
      <c r="O25" s="134"/>
      <c r="P25" s="122"/>
      <c r="Q25" s="123">
        <f t="shared" si="0"/>
        <v>2265.48</v>
      </c>
      <c r="R25" s="122"/>
      <c r="S25" s="122"/>
      <c r="T25" s="123">
        <f t="shared" si="13"/>
        <v>2265.48</v>
      </c>
      <c r="U25" s="122"/>
      <c r="V25" s="122"/>
      <c r="W25" s="123">
        <f t="shared" si="28"/>
        <v>2265.48</v>
      </c>
      <c r="X25" s="124">
        <f>335.09+623.2</f>
        <v>958.29</v>
      </c>
      <c r="Y25" s="122"/>
      <c r="Z25" s="123">
        <f t="shared" si="29"/>
        <v>3223.77</v>
      </c>
      <c r="AA25" s="122"/>
      <c r="AB25" s="122"/>
      <c r="AC25" s="123">
        <f t="shared" si="30"/>
        <v>3223.77</v>
      </c>
      <c r="AD25" s="122"/>
      <c r="AE25" s="122"/>
      <c r="AF25" s="123">
        <f t="shared" si="31"/>
        <v>3223.77</v>
      </c>
      <c r="AG25" s="122"/>
      <c r="AH25" s="122"/>
      <c r="AI25" s="123">
        <f t="shared" si="32"/>
        <v>3223.77</v>
      </c>
      <c r="AJ25" s="134"/>
      <c r="AK25" s="130">
        <f t="shared" si="1"/>
        <v>958.29</v>
      </c>
      <c r="AL25" s="131">
        <f t="shared" si="12"/>
        <v>0</v>
      </c>
    </row>
    <row r="26" spans="1:61" x14ac:dyDescent="0.35">
      <c r="A26" s="10" t="s">
        <v>843</v>
      </c>
      <c r="B26" s="123">
        <v>179.75</v>
      </c>
      <c r="C26" s="134"/>
      <c r="D26" s="122"/>
      <c r="E26" s="123">
        <f t="shared" si="25"/>
        <v>179.75</v>
      </c>
      <c r="F26" s="134"/>
      <c r="G26" s="122"/>
      <c r="H26" s="123">
        <f t="shared" si="26"/>
        <v>179.75</v>
      </c>
      <c r="I26" s="135"/>
      <c r="J26" s="122"/>
      <c r="K26" s="123">
        <f t="shared" si="27"/>
        <v>179.75</v>
      </c>
      <c r="L26" s="134"/>
      <c r="M26" s="197"/>
      <c r="N26" s="123">
        <f t="shared" si="14"/>
        <v>179.75</v>
      </c>
      <c r="O26" s="134"/>
      <c r="P26" s="122"/>
      <c r="Q26" s="123">
        <f t="shared" si="0"/>
        <v>179.75</v>
      </c>
      <c r="R26" s="122"/>
      <c r="S26" s="122"/>
      <c r="T26" s="123">
        <f t="shared" si="13"/>
        <v>179.75</v>
      </c>
      <c r="U26" s="122"/>
      <c r="V26" s="122"/>
      <c r="W26" s="123">
        <f t="shared" si="28"/>
        <v>179.75</v>
      </c>
      <c r="X26" s="124">
        <f>47.87+100+110.27+300.06</f>
        <v>558.20000000000005</v>
      </c>
      <c r="Y26" s="122"/>
      <c r="Z26" s="123">
        <f t="shared" si="29"/>
        <v>737.95</v>
      </c>
      <c r="AA26" s="122"/>
      <c r="AB26" s="122"/>
      <c r="AC26" s="123">
        <f t="shared" si="30"/>
        <v>737.95</v>
      </c>
      <c r="AD26" s="122"/>
      <c r="AE26" s="122"/>
      <c r="AF26" s="123">
        <f t="shared" si="31"/>
        <v>737.95</v>
      </c>
      <c r="AG26" s="122"/>
      <c r="AH26" s="122"/>
      <c r="AI26" s="123">
        <f t="shared" si="32"/>
        <v>737.95</v>
      </c>
      <c r="AJ26" s="134"/>
      <c r="AK26" s="130">
        <f t="shared" si="1"/>
        <v>558.20000000000005</v>
      </c>
      <c r="AL26" s="131">
        <f t="shared" si="12"/>
        <v>0</v>
      </c>
    </row>
    <row r="27" spans="1:61" x14ac:dyDescent="0.35">
      <c r="A27" s="10" t="s">
        <v>8</v>
      </c>
      <c r="B27" s="123">
        <v>3583.78</v>
      </c>
      <c r="C27" s="134"/>
      <c r="D27" s="122"/>
      <c r="E27" s="123">
        <f t="shared" si="25"/>
        <v>3583.78</v>
      </c>
      <c r="F27" s="134">
        <v>47.7</v>
      </c>
      <c r="G27" s="122"/>
      <c r="H27" s="123">
        <f t="shared" si="26"/>
        <v>3631.48</v>
      </c>
      <c r="I27" s="135">
        <v>71.819999999999993</v>
      </c>
      <c r="J27" s="122"/>
      <c r="K27" s="123">
        <f t="shared" si="27"/>
        <v>3703.3</v>
      </c>
      <c r="L27" s="134"/>
      <c r="M27" s="122">
        <f>346.68+219.8</f>
        <v>566.48</v>
      </c>
      <c r="N27" s="123">
        <f t="shared" si="14"/>
        <v>3136.82</v>
      </c>
      <c r="O27" s="134"/>
      <c r="P27" s="122">
        <f>42.88+102.17+88.08</f>
        <v>233.13</v>
      </c>
      <c r="Q27" s="123">
        <f t="shared" si="0"/>
        <v>2903.69</v>
      </c>
      <c r="R27" s="122"/>
      <c r="S27" s="122">
        <v>68.5</v>
      </c>
      <c r="T27" s="123">
        <f t="shared" si="13"/>
        <v>2835.19</v>
      </c>
      <c r="U27" s="122"/>
      <c r="V27" s="122">
        <v>6.92</v>
      </c>
      <c r="W27" s="123">
        <f t="shared" si="28"/>
        <v>2828.27</v>
      </c>
      <c r="X27" s="124">
        <f>47.87+225.81+1523.37</f>
        <v>1797.05</v>
      </c>
      <c r="Y27" s="122"/>
      <c r="Z27" s="123">
        <f t="shared" si="29"/>
        <v>4625.32</v>
      </c>
      <c r="AA27" s="122"/>
      <c r="AB27" s="122"/>
      <c r="AC27" s="123">
        <f t="shared" si="30"/>
        <v>4625.32</v>
      </c>
      <c r="AD27" s="122"/>
      <c r="AE27" s="122"/>
      <c r="AF27" s="123">
        <f t="shared" si="31"/>
        <v>4625.32</v>
      </c>
      <c r="AG27" s="122"/>
      <c r="AH27" s="122"/>
      <c r="AI27" s="123">
        <f t="shared" si="32"/>
        <v>4625.32</v>
      </c>
      <c r="AJ27" s="134"/>
      <c r="AK27" s="130">
        <f t="shared" si="1"/>
        <v>1916.57</v>
      </c>
      <c r="AL27" s="131">
        <f t="shared" si="12"/>
        <v>875.03</v>
      </c>
    </row>
    <row r="28" spans="1:61" ht="15.45" thickBot="1" x14ac:dyDescent="0.4">
      <c r="A28" s="10" t="s">
        <v>9</v>
      </c>
      <c r="B28" s="136">
        <v>4303.18</v>
      </c>
      <c r="C28" s="134">
        <f>0.0666666666666667*719.67</f>
        <v>47.978000000000016</v>
      </c>
      <c r="D28" s="122"/>
      <c r="E28" s="136">
        <f t="shared" si="25"/>
        <v>4351.1580000000004</v>
      </c>
      <c r="F28" s="134"/>
      <c r="G28" s="122"/>
      <c r="H28" s="136">
        <f t="shared" si="26"/>
        <v>4351.1580000000004</v>
      </c>
      <c r="I28" s="135"/>
      <c r="J28" s="122"/>
      <c r="K28" s="136">
        <f t="shared" si="27"/>
        <v>4351.1580000000004</v>
      </c>
      <c r="L28" s="134"/>
      <c r="M28" s="122"/>
      <c r="N28" s="136">
        <f t="shared" si="14"/>
        <v>4351.1580000000004</v>
      </c>
      <c r="O28" s="134"/>
      <c r="P28" s="122"/>
      <c r="Q28" s="136">
        <f>+N28+O28-P28</f>
        <v>4351.1580000000004</v>
      </c>
      <c r="R28" s="122"/>
      <c r="S28" s="122">
        <v>115.8</v>
      </c>
      <c r="T28" s="136">
        <f t="shared" si="13"/>
        <v>4235.3580000000002</v>
      </c>
      <c r="U28" s="122"/>
      <c r="V28" s="122"/>
      <c r="W28" s="136">
        <f t="shared" si="28"/>
        <v>4235.3580000000002</v>
      </c>
      <c r="X28" s="124">
        <f>461.63+1000</f>
        <v>1461.63</v>
      </c>
      <c r="Y28" s="122"/>
      <c r="Z28" s="136">
        <f t="shared" si="29"/>
        <v>5696.9880000000003</v>
      </c>
      <c r="AA28" s="122"/>
      <c r="AB28" s="122">
        <v>794.64</v>
      </c>
      <c r="AC28" s="136">
        <f t="shared" si="30"/>
        <v>4902.348</v>
      </c>
      <c r="AD28" s="122"/>
      <c r="AE28" s="122">
        <v>840.48</v>
      </c>
      <c r="AF28" s="136">
        <f t="shared" si="31"/>
        <v>4061.8679999999999</v>
      </c>
      <c r="AG28" s="122"/>
      <c r="AH28" s="122"/>
      <c r="AI28" s="136">
        <f t="shared" si="32"/>
        <v>4061.8679999999999</v>
      </c>
      <c r="AJ28" s="134"/>
      <c r="AK28" s="132">
        <f>SUM(AG28,AD28,AA28,X28,U28,R28,O28,L28,I28,F28,C28)</f>
        <v>1509.6080000000002</v>
      </c>
      <c r="AL28" s="133">
        <f>SUM(AH28,AE28,AB28,Y28,V28,S28,P28,M28,J28,G28,D28)</f>
        <v>1750.9199999999998</v>
      </c>
    </row>
    <row r="29" spans="1:61" s="122" customFormat="1" ht="15.9" thickBot="1" x14ac:dyDescent="0.45">
      <c r="A29" s="126" t="s">
        <v>10</v>
      </c>
      <c r="B29" s="127">
        <f t="shared" ref="B29:AI29" si="33">SUM(B5:B28)</f>
        <v>76919.350000000006</v>
      </c>
      <c r="C29" s="125">
        <f t="shared" si="33"/>
        <v>4291.3180000000002</v>
      </c>
      <c r="D29" s="125">
        <f t="shared" si="33"/>
        <v>5371.35</v>
      </c>
      <c r="E29" s="128">
        <f t="shared" si="33"/>
        <v>75839.317999999985</v>
      </c>
      <c r="F29" s="125">
        <f t="shared" si="33"/>
        <v>3114.9399999999996</v>
      </c>
      <c r="G29" s="125">
        <f t="shared" si="33"/>
        <v>3521.5299999999997</v>
      </c>
      <c r="H29" s="128">
        <f t="shared" si="33"/>
        <v>75432.728000000003</v>
      </c>
      <c r="I29" s="125">
        <f t="shared" si="33"/>
        <v>11399</v>
      </c>
      <c r="J29" s="125">
        <f t="shared" si="33"/>
        <v>1461.9699999999998</v>
      </c>
      <c r="K29" s="128">
        <f t="shared" si="33"/>
        <v>85369.757999999987</v>
      </c>
      <c r="L29" s="125">
        <f t="shared" si="33"/>
        <v>4882.67</v>
      </c>
      <c r="M29" s="125">
        <f t="shared" si="33"/>
        <v>7491.4500000000007</v>
      </c>
      <c r="N29" s="128">
        <f t="shared" si="33"/>
        <v>82760.977999999988</v>
      </c>
      <c r="O29" s="125">
        <f t="shared" si="33"/>
        <v>4437.28</v>
      </c>
      <c r="P29" s="125">
        <f t="shared" si="33"/>
        <v>5015.32</v>
      </c>
      <c r="Q29" s="128">
        <f t="shared" si="33"/>
        <v>82182.937999999995</v>
      </c>
      <c r="R29" s="125">
        <f t="shared" si="33"/>
        <v>1640.8200000000002</v>
      </c>
      <c r="S29" s="125">
        <f t="shared" si="33"/>
        <v>7095.3600000000006</v>
      </c>
      <c r="T29" s="128">
        <f t="shared" si="33"/>
        <v>76728.398000000016</v>
      </c>
      <c r="U29" s="125">
        <f t="shared" si="33"/>
        <v>1952.7700000000002</v>
      </c>
      <c r="V29" s="125">
        <f t="shared" si="33"/>
        <v>1701.92</v>
      </c>
      <c r="W29" s="128">
        <f t="shared" si="33"/>
        <v>76979.248000000021</v>
      </c>
      <c r="X29" s="125">
        <f t="shared" si="33"/>
        <v>42247.119999999995</v>
      </c>
      <c r="Y29" s="125">
        <f>SUM(Y5:Y28)</f>
        <v>4539.28</v>
      </c>
      <c r="Z29" s="128">
        <f t="shared" si="33"/>
        <v>114687.088</v>
      </c>
      <c r="AA29" s="125">
        <f t="shared" si="33"/>
        <v>5948.59</v>
      </c>
      <c r="AB29" s="125">
        <f t="shared" si="33"/>
        <v>5776.6600000000008</v>
      </c>
      <c r="AC29" s="128">
        <f t="shared" si="33"/>
        <v>114859.01799999998</v>
      </c>
      <c r="AD29" s="125">
        <f t="shared" si="33"/>
        <v>8276.3499999999985</v>
      </c>
      <c r="AE29" s="125">
        <f t="shared" si="33"/>
        <v>6571.43</v>
      </c>
      <c r="AF29" s="128">
        <f t="shared" si="33"/>
        <v>116563.93799999998</v>
      </c>
      <c r="AG29" s="125">
        <f t="shared" si="33"/>
        <v>0</v>
      </c>
      <c r="AH29" s="125">
        <f t="shared" si="33"/>
        <v>0</v>
      </c>
      <c r="AI29" s="128">
        <f t="shared" si="33"/>
        <v>116563.93799999998</v>
      </c>
      <c r="AJ29" s="51"/>
      <c r="AK29" s="128">
        <f>SUM(AK5:AK28)</f>
        <v>88190.858000000007</v>
      </c>
      <c r="AL29" s="129">
        <f>SUM(AL5:AL28)</f>
        <v>48546.27</v>
      </c>
    </row>
    <row r="30" spans="1:61" x14ac:dyDescent="0.35">
      <c r="E30" s="3"/>
      <c r="H30" s="3"/>
      <c r="K30" s="3"/>
      <c r="N30" s="3"/>
      <c r="Q30" s="3"/>
      <c r="T30" s="3"/>
      <c r="W30" s="12" t="s">
        <v>1068</v>
      </c>
      <c r="X30" s="12">
        <v>230.81</v>
      </c>
    </row>
    <row r="32" spans="1:61" x14ac:dyDescent="0.35">
      <c r="O32" s="3"/>
      <c r="Q32" s="3"/>
    </row>
    <row r="33" spans="2:18" x14ac:dyDescent="0.35">
      <c r="B33" s="3"/>
      <c r="C33" s="3"/>
      <c r="F33" s="3"/>
      <c r="I33" s="3"/>
      <c r="L33" s="3"/>
      <c r="O33" s="3"/>
      <c r="R33" s="3"/>
    </row>
  </sheetData>
  <mergeCells count="8">
    <mergeCell ref="A1:AL1"/>
    <mergeCell ref="O2:P2"/>
    <mergeCell ref="R2:S2"/>
    <mergeCell ref="F2:G2"/>
    <mergeCell ref="C2:D2"/>
    <mergeCell ref="A2:B2"/>
    <mergeCell ref="I2:J2"/>
    <mergeCell ref="L2:M2"/>
  </mergeCells>
  <phoneticPr fontId="0" type="noConversion"/>
  <conditionalFormatting sqref="Z5:AL6 W5:W6 A5:Q6 A7:A12 A16:A22 A13:Q15 W13:W15 Z13:AL15 A23:Q28 Z23:AL28 W23:W28 T23:T28 T13:T15 T5:T6">
    <cfRule type="expression" dxfId="68" priority="85" stopIfTrue="1">
      <formula>"MOD(ROW(),2) = 1"</formula>
    </cfRule>
  </conditionalFormatting>
  <conditionalFormatting sqref="Z16:AL16 W16 B16:Q16 T16">
    <cfRule type="expression" dxfId="67" priority="83" stopIfTrue="1">
      <formula>"MOD(ROW(),2) = 1"</formula>
    </cfRule>
  </conditionalFormatting>
  <conditionalFormatting sqref="B7:Q7 W7 Z7:AL7 T7">
    <cfRule type="expression" dxfId="66" priority="82" stopIfTrue="1">
      <formula>"MOD(ROW(),2) = 1"</formula>
    </cfRule>
  </conditionalFormatting>
  <conditionalFormatting sqref="B17:Q17 W17 Z17:AL17 T17">
    <cfRule type="expression" dxfId="65" priority="81" stopIfTrue="1">
      <formula>"MOD(ROW(),2) = 1"</formula>
    </cfRule>
  </conditionalFormatting>
  <conditionalFormatting sqref="B8:Q8 W8 Z8:AL8 T8">
    <cfRule type="expression" dxfId="64" priority="80" stopIfTrue="1">
      <formula>"MOD(ROW(),2) = 1"</formula>
    </cfRule>
  </conditionalFormatting>
  <conditionalFormatting sqref="B18:Q18 W18 Z18:AL18 T18">
    <cfRule type="expression" dxfId="63" priority="79" stopIfTrue="1">
      <formula>"MOD(ROW(),2) = 1"</formula>
    </cfRule>
  </conditionalFormatting>
  <conditionalFormatting sqref="B9:Q9 W9 Z9:AL9 T9">
    <cfRule type="expression" dxfId="62" priority="78" stopIfTrue="1">
      <formula>"MOD(ROW(),2) = 1"</formula>
    </cfRule>
  </conditionalFormatting>
  <conditionalFormatting sqref="B19:Q19 W19 Z19:AL19 T19">
    <cfRule type="expression" dxfId="61" priority="77" stopIfTrue="1">
      <formula>"MOD(ROW(),2) = 1"</formula>
    </cfRule>
  </conditionalFormatting>
  <conditionalFormatting sqref="B10:Q10 W10 Z10:AL10 T10">
    <cfRule type="expression" dxfId="60" priority="76" stopIfTrue="1">
      <formula>"MOD(ROW(),2) = 1"</formula>
    </cfRule>
  </conditionalFormatting>
  <conditionalFormatting sqref="B20:Q20 W20 Z20:AL20 T20">
    <cfRule type="expression" dxfId="59" priority="75" stopIfTrue="1">
      <formula>"MOD(ROW(),2) = 1"</formula>
    </cfRule>
  </conditionalFormatting>
  <conditionalFormatting sqref="B11:Q11 W11 Z11:AL11 T11">
    <cfRule type="expression" dxfId="58" priority="74" stopIfTrue="1">
      <formula>"MOD(ROW(),2) = 1"</formula>
    </cfRule>
  </conditionalFormatting>
  <conditionalFormatting sqref="B21:Q21 W21 Z21:AL21 T21">
    <cfRule type="expression" dxfId="57" priority="73" stopIfTrue="1">
      <formula>"MOD(ROW(),2) = 1"</formula>
    </cfRule>
  </conditionalFormatting>
  <conditionalFormatting sqref="B12:Q12 W12 Z12:AL12 T12">
    <cfRule type="expression" dxfId="56" priority="72" stopIfTrue="1">
      <formula>"MOD(ROW(),2) = 1"</formula>
    </cfRule>
  </conditionalFormatting>
  <conditionalFormatting sqref="B22:Q22 W22 Z22:AL22 T22">
    <cfRule type="expression" dxfId="55" priority="71" stopIfTrue="1">
      <formula>"MOD(ROW(),2) = 1"</formula>
    </cfRule>
  </conditionalFormatting>
  <conditionalFormatting sqref="X5:Y6 X13:Y15 X23:Y28">
    <cfRule type="expression" dxfId="54" priority="42" stopIfTrue="1">
      <formula>"MOD(ROW(),2) = 1"</formula>
    </cfRule>
  </conditionalFormatting>
  <conditionalFormatting sqref="X16:Y16">
    <cfRule type="expression" dxfId="53" priority="41" stopIfTrue="1">
      <formula>"MOD(ROW(),2) = 1"</formula>
    </cfRule>
  </conditionalFormatting>
  <conditionalFormatting sqref="X7:Y7">
    <cfRule type="expression" dxfId="52" priority="40" stopIfTrue="1">
      <formula>"MOD(ROW(),2) = 1"</formula>
    </cfRule>
  </conditionalFormatting>
  <conditionalFormatting sqref="X17:Y17">
    <cfRule type="expression" dxfId="51" priority="39" stopIfTrue="1">
      <formula>"MOD(ROW(),2) = 1"</formula>
    </cfRule>
  </conditionalFormatting>
  <conditionalFormatting sqref="X8:Y8">
    <cfRule type="expression" dxfId="50" priority="38" stopIfTrue="1">
      <formula>"MOD(ROW(),2) = 1"</formula>
    </cfRule>
  </conditionalFormatting>
  <conditionalFormatting sqref="X18:Y18">
    <cfRule type="expression" dxfId="49" priority="37" stopIfTrue="1">
      <formula>"MOD(ROW(),2) = 1"</formula>
    </cfRule>
  </conditionalFormatting>
  <conditionalFormatting sqref="X9:Y9">
    <cfRule type="expression" dxfId="48" priority="36" stopIfTrue="1">
      <formula>"MOD(ROW(),2) = 1"</formula>
    </cfRule>
  </conditionalFormatting>
  <conditionalFormatting sqref="X19:Y19">
    <cfRule type="expression" dxfId="47" priority="35" stopIfTrue="1">
      <formula>"MOD(ROW(),2) = 1"</formula>
    </cfRule>
  </conditionalFormatting>
  <conditionalFormatting sqref="X10:Y10">
    <cfRule type="expression" dxfId="46" priority="34" stopIfTrue="1">
      <formula>"MOD(ROW(),2) = 1"</formula>
    </cfRule>
  </conditionalFormatting>
  <conditionalFormatting sqref="X20:Y20">
    <cfRule type="expression" dxfId="45" priority="33" stopIfTrue="1">
      <formula>"MOD(ROW(),2) = 1"</formula>
    </cfRule>
  </conditionalFormatting>
  <conditionalFormatting sqref="X11:Y11">
    <cfRule type="expression" dxfId="44" priority="32" stopIfTrue="1">
      <formula>"MOD(ROW(),2) = 1"</formula>
    </cfRule>
  </conditionalFormatting>
  <conditionalFormatting sqref="X21:Y21">
    <cfRule type="expression" dxfId="43" priority="31" stopIfTrue="1">
      <formula>"MOD(ROW(),2) = 1"</formula>
    </cfRule>
  </conditionalFormatting>
  <conditionalFormatting sqref="X12:Y12">
    <cfRule type="expression" dxfId="42" priority="30" stopIfTrue="1">
      <formula>"MOD(ROW(),2) = 1"</formula>
    </cfRule>
  </conditionalFormatting>
  <conditionalFormatting sqref="X22:Y22">
    <cfRule type="expression" dxfId="41" priority="29" stopIfTrue="1">
      <formula>"MOD(ROW(),2) = 1"</formula>
    </cfRule>
  </conditionalFormatting>
  <conditionalFormatting sqref="U5:V6 U13:V15 U23:V28">
    <cfRule type="expression" dxfId="40" priority="28" stopIfTrue="1">
      <formula>"MOD(ROW(),2) = 1"</formula>
    </cfRule>
  </conditionalFormatting>
  <conditionalFormatting sqref="U16:V16">
    <cfRule type="expression" dxfId="39" priority="27" stopIfTrue="1">
      <formula>"MOD(ROW(),2) = 1"</formula>
    </cfRule>
  </conditionalFormatting>
  <conditionalFormatting sqref="U7:V7">
    <cfRule type="expression" dxfId="38" priority="26" stopIfTrue="1">
      <formula>"MOD(ROW(),2) = 1"</formula>
    </cfRule>
  </conditionalFormatting>
  <conditionalFormatting sqref="U17:V17">
    <cfRule type="expression" dxfId="37" priority="25" stopIfTrue="1">
      <formula>"MOD(ROW(),2) = 1"</formula>
    </cfRule>
  </conditionalFormatting>
  <conditionalFormatting sqref="U8:V8">
    <cfRule type="expression" dxfId="36" priority="24" stopIfTrue="1">
      <formula>"MOD(ROW(),2) = 1"</formula>
    </cfRule>
  </conditionalFormatting>
  <conditionalFormatting sqref="U18:V18">
    <cfRule type="expression" dxfId="35" priority="23" stopIfTrue="1">
      <formula>"MOD(ROW(),2) = 1"</formula>
    </cfRule>
  </conditionalFormatting>
  <conditionalFormatting sqref="U9:V9">
    <cfRule type="expression" dxfId="34" priority="22" stopIfTrue="1">
      <formula>"MOD(ROW(),2) = 1"</formula>
    </cfRule>
  </conditionalFormatting>
  <conditionalFormatting sqref="U19:V19">
    <cfRule type="expression" dxfId="33" priority="21" stopIfTrue="1">
      <formula>"MOD(ROW(),2) = 1"</formula>
    </cfRule>
  </conditionalFormatting>
  <conditionalFormatting sqref="U10:V10">
    <cfRule type="expression" dxfId="32" priority="20" stopIfTrue="1">
      <formula>"MOD(ROW(),2) = 1"</formula>
    </cfRule>
  </conditionalFormatting>
  <conditionalFormatting sqref="U20:V20">
    <cfRule type="expression" dxfId="31" priority="19" stopIfTrue="1">
      <formula>"MOD(ROW(),2) = 1"</formula>
    </cfRule>
  </conditionalFormatting>
  <conditionalFormatting sqref="U11:V11">
    <cfRule type="expression" dxfId="30" priority="18" stopIfTrue="1">
      <formula>"MOD(ROW(),2) = 1"</formula>
    </cfRule>
  </conditionalFormatting>
  <conditionalFormatting sqref="U21:V21">
    <cfRule type="expression" dxfId="29" priority="17" stopIfTrue="1">
      <formula>"MOD(ROW(),2) = 1"</formula>
    </cfRule>
  </conditionalFormatting>
  <conditionalFormatting sqref="U12:V12">
    <cfRule type="expression" dxfId="28" priority="16" stopIfTrue="1">
      <formula>"MOD(ROW(),2) = 1"</formula>
    </cfRule>
  </conditionalFormatting>
  <conditionalFormatting sqref="U22:V22">
    <cfRule type="expression" dxfId="27" priority="15" stopIfTrue="1">
      <formula>"MOD(ROW(),2) = 1"</formula>
    </cfRule>
  </conditionalFormatting>
  <conditionalFormatting sqref="R5:S6 R13:S15 R23:S28">
    <cfRule type="expression" dxfId="26" priority="14" stopIfTrue="1">
      <formula>"MOD(ROW(),2) = 1"</formula>
    </cfRule>
  </conditionalFormatting>
  <conditionalFormatting sqref="R16:S16">
    <cfRule type="expression" dxfId="25" priority="13" stopIfTrue="1">
      <formula>"MOD(ROW(),2) = 1"</formula>
    </cfRule>
  </conditionalFormatting>
  <conditionalFormatting sqref="R7:S7">
    <cfRule type="expression" dxfId="24" priority="12" stopIfTrue="1">
      <formula>"MOD(ROW(),2) = 1"</formula>
    </cfRule>
  </conditionalFormatting>
  <conditionalFormatting sqref="R17:S17">
    <cfRule type="expression" dxfId="23" priority="11" stopIfTrue="1">
      <formula>"MOD(ROW(),2) = 1"</formula>
    </cfRule>
  </conditionalFormatting>
  <conditionalFormatting sqref="R8:S8">
    <cfRule type="expression" dxfId="22" priority="10" stopIfTrue="1">
      <formula>"MOD(ROW(),2) = 1"</formula>
    </cfRule>
  </conditionalFormatting>
  <conditionalFormatting sqref="R18:S18">
    <cfRule type="expression" dxfId="21" priority="9" stopIfTrue="1">
      <formula>"MOD(ROW(),2) = 1"</formula>
    </cfRule>
  </conditionalFormatting>
  <conditionalFormatting sqref="R9:S9">
    <cfRule type="expression" dxfId="20" priority="8" stopIfTrue="1">
      <formula>"MOD(ROW(),2) = 1"</formula>
    </cfRule>
  </conditionalFormatting>
  <conditionalFormatting sqref="R19:S19">
    <cfRule type="expression" dxfId="19" priority="7" stopIfTrue="1">
      <formula>"MOD(ROW(),2) = 1"</formula>
    </cfRule>
  </conditionalFormatting>
  <conditionalFormatting sqref="R10:S10">
    <cfRule type="expression" dxfId="18" priority="6" stopIfTrue="1">
      <formula>"MOD(ROW(),2) = 1"</formula>
    </cfRule>
  </conditionalFormatting>
  <conditionalFormatting sqref="R20:S20">
    <cfRule type="expression" dxfId="17" priority="5" stopIfTrue="1">
      <formula>"MOD(ROW(),2) = 1"</formula>
    </cfRule>
  </conditionalFormatting>
  <conditionalFormatting sqref="R11:S11">
    <cfRule type="expression" dxfId="16" priority="4" stopIfTrue="1">
      <formula>"MOD(ROW(),2) = 1"</formula>
    </cfRule>
  </conditionalFormatting>
  <conditionalFormatting sqref="R21:S21">
    <cfRule type="expression" dxfId="15" priority="3" stopIfTrue="1">
      <formula>"MOD(ROW(),2) = 1"</formula>
    </cfRule>
  </conditionalFormatting>
  <conditionalFormatting sqref="R12:S12">
    <cfRule type="expression" dxfId="14" priority="2" stopIfTrue="1">
      <formula>"MOD(ROW(),2) = 1"</formula>
    </cfRule>
  </conditionalFormatting>
  <conditionalFormatting sqref="R22:S22">
    <cfRule type="expression" dxfId="13" priority="1" stopIfTrue="1">
      <formula>"MOD(ROW(),2) = 1"</formula>
    </cfRule>
  </conditionalFormatting>
  <printOptions gridLines="1"/>
  <pageMargins left="0.47" right="0.24" top="1" bottom="0.52" header="0.5" footer="0.5"/>
  <pageSetup scale="24" orientation="landscape" horizontalDpi="1800" verticalDpi="18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4"/>
  <sheetViews>
    <sheetView workbookViewId="0">
      <pane xSplit="1" topLeftCell="B1" activePane="topRight" state="frozen"/>
      <selection pane="topRight" activeCell="AD77" sqref="AD77"/>
    </sheetView>
  </sheetViews>
  <sheetFormatPr defaultColWidth="8.69140625" defaultRowHeight="12.45" outlineLevelCol="1" x14ac:dyDescent="0.3"/>
  <cols>
    <col min="1" max="1" width="19.3046875" customWidth="1"/>
    <col min="2" max="2" width="1.3046875" customWidth="1" outlineLevel="1"/>
    <col min="3" max="3" width="1.15234375" customWidth="1" outlineLevel="1"/>
    <col min="4" max="4" width="1.3828125" customWidth="1" outlineLevel="1"/>
    <col min="5" max="5" width="0.3046875" customWidth="1" outlineLevel="1"/>
    <col min="6" max="6" width="0.69140625" customWidth="1" outlineLevel="1"/>
    <col min="7" max="7" width="0.3046875" customWidth="1" outlineLevel="1"/>
    <col min="8" max="8" width="0.69140625" customWidth="1" outlineLevel="1"/>
    <col min="9" max="9" width="1.15234375" customWidth="1" outlineLevel="1"/>
    <col min="10" max="10" width="1.3046875" customWidth="1" outlineLevel="1"/>
    <col min="11" max="11" width="1.3828125" customWidth="1" outlineLevel="1"/>
    <col min="12" max="12" width="1.69140625" customWidth="1" outlineLevel="1"/>
    <col min="13" max="13" width="1.15234375" customWidth="1" outlineLevel="1"/>
    <col min="14" max="14" width="1.15234375" style="59" customWidth="1" outlineLevel="1"/>
    <col min="15" max="15" width="1" customWidth="1" outlineLevel="1"/>
    <col min="16" max="16" width="0.3828125" customWidth="1" outlineLevel="1"/>
    <col min="17" max="17" width="1.15234375" customWidth="1" outlineLevel="1"/>
    <col min="18" max="18" width="0.15234375" customWidth="1" outlineLevel="1"/>
    <col min="19" max="19" width="1.69140625" customWidth="1" outlineLevel="1"/>
    <col min="20" max="20" width="0.15234375" customWidth="1" outlineLevel="1"/>
    <col min="21" max="21" width="10.84375" customWidth="1" outlineLevel="1"/>
    <col min="22" max="22" width="0.15234375" style="107" customWidth="1" outlineLevel="1"/>
    <col min="23" max="23" width="15.3046875" customWidth="1" outlineLevel="1"/>
    <col min="24" max="24" width="15.3046875" customWidth="1"/>
    <col min="25" max="29" width="14.69140625" customWidth="1"/>
    <col min="30" max="30" width="16.69140625" customWidth="1"/>
    <col min="31" max="31" width="23.3046875" customWidth="1"/>
    <col min="32" max="33" width="9.69140625" hidden="1" customWidth="1"/>
    <col min="34" max="34" width="2.3828125" hidden="1" customWidth="1"/>
  </cols>
  <sheetData>
    <row r="1" spans="1:34" ht="17.600000000000001" x14ac:dyDescent="0.4">
      <c r="A1" s="255" t="s">
        <v>294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</row>
    <row r="2" spans="1:34" ht="18.75" customHeight="1" x14ac:dyDescent="0.3">
      <c r="A2" s="256" t="s">
        <v>295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</row>
    <row r="3" spans="1:34" x14ac:dyDescent="0.3">
      <c r="A3" s="64"/>
      <c r="B3" s="65" t="s">
        <v>170</v>
      </c>
      <c r="C3" s="65" t="s">
        <v>171</v>
      </c>
      <c r="D3" s="65" t="s">
        <v>172</v>
      </c>
      <c r="E3" s="65" t="s">
        <v>173</v>
      </c>
      <c r="F3" s="65" t="s">
        <v>174</v>
      </c>
      <c r="G3" s="65" t="s">
        <v>175</v>
      </c>
      <c r="H3" s="65" t="s">
        <v>176</v>
      </c>
      <c r="I3" s="65" t="s">
        <v>177</v>
      </c>
      <c r="J3" s="65" t="s">
        <v>178</v>
      </c>
      <c r="K3" s="65" t="s">
        <v>179</v>
      </c>
      <c r="L3" s="65" t="s">
        <v>180</v>
      </c>
      <c r="M3" s="65">
        <v>2000</v>
      </c>
      <c r="N3" s="65">
        <v>2001</v>
      </c>
      <c r="O3" s="65">
        <v>2002</v>
      </c>
      <c r="P3" s="65">
        <v>2003</v>
      </c>
      <c r="Q3" s="65">
        <v>2004</v>
      </c>
      <c r="R3" s="65">
        <v>2005</v>
      </c>
      <c r="S3" s="65">
        <v>2006</v>
      </c>
      <c r="T3" s="65">
        <v>2007</v>
      </c>
      <c r="U3" s="65"/>
      <c r="V3" s="102"/>
      <c r="W3" s="65"/>
      <c r="X3" s="65"/>
      <c r="Y3" s="65"/>
      <c r="Z3" s="65"/>
      <c r="AA3" s="65"/>
      <c r="AB3" s="65"/>
      <c r="AC3" s="65"/>
      <c r="AD3" s="65"/>
      <c r="AE3" s="67" t="s">
        <v>309</v>
      </c>
      <c r="AF3" s="65" t="s">
        <v>181</v>
      </c>
      <c r="AG3" s="66"/>
      <c r="AH3" s="58"/>
    </row>
    <row r="4" spans="1:34" x14ac:dyDescent="0.3">
      <c r="A4" s="65" t="s">
        <v>1</v>
      </c>
      <c r="B4" s="65">
        <v>1990</v>
      </c>
      <c r="C4" s="65">
        <v>1991</v>
      </c>
      <c r="D4" s="65">
        <v>1992</v>
      </c>
      <c r="E4" s="65">
        <v>1993</v>
      </c>
      <c r="F4" s="65">
        <v>1994</v>
      </c>
      <c r="G4" s="65">
        <f>F4+1</f>
        <v>1995</v>
      </c>
      <c r="H4" s="65">
        <f>G4+1</f>
        <v>1996</v>
      </c>
      <c r="I4" s="65">
        <f>H4+1</f>
        <v>1997</v>
      </c>
      <c r="J4" s="65">
        <f>I4+1</f>
        <v>1998</v>
      </c>
      <c r="K4" s="65">
        <f>J4+1</f>
        <v>1999</v>
      </c>
      <c r="L4" s="65">
        <v>2000</v>
      </c>
      <c r="M4" s="65">
        <v>2001</v>
      </c>
      <c r="N4" s="65">
        <v>2002</v>
      </c>
      <c r="O4" s="65">
        <v>2003</v>
      </c>
      <c r="P4" s="65">
        <v>2004</v>
      </c>
      <c r="Q4" s="65">
        <v>2005</v>
      </c>
      <c r="R4" s="65">
        <v>2006</v>
      </c>
      <c r="S4" s="65">
        <v>2007</v>
      </c>
      <c r="T4" s="65">
        <v>2008</v>
      </c>
      <c r="U4" s="67" t="s">
        <v>182</v>
      </c>
      <c r="V4" s="103" t="s">
        <v>183</v>
      </c>
      <c r="W4" s="67" t="s">
        <v>184</v>
      </c>
      <c r="X4" s="67" t="s">
        <v>247</v>
      </c>
      <c r="Y4" s="67" t="s">
        <v>306</v>
      </c>
      <c r="Z4" s="67" t="s">
        <v>333</v>
      </c>
      <c r="AA4" s="67" t="s">
        <v>570</v>
      </c>
      <c r="AB4" s="195" t="s">
        <v>741</v>
      </c>
      <c r="AC4" s="195" t="s">
        <v>868</v>
      </c>
      <c r="AD4" s="195" t="s">
        <v>946</v>
      </c>
      <c r="AE4" s="67" t="s">
        <v>931</v>
      </c>
      <c r="AF4" s="65"/>
      <c r="AG4" s="68"/>
      <c r="AH4" s="58"/>
    </row>
    <row r="5" spans="1:34" x14ac:dyDescent="0.3">
      <c r="A5" s="69" t="s">
        <v>185</v>
      </c>
      <c r="B5" s="27">
        <f>258.36+86.48+418.35+713.46+84+50</f>
        <v>1610.65</v>
      </c>
      <c r="C5" s="27">
        <f>839.93+90</f>
        <v>929.93</v>
      </c>
      <c r="D5" s="27">
        <f>400</f>
        <v>400</v>
      </c>
      <c r="E5" s="27">
        <f>452.27</f>
        <v>452.27</v>
      </c>
      <c r="F5" s="27">
        <f>392+621.1+659.1</f>
        <v>1672.2</v>
      </c>
      <c r="G5" s="27">
        <v>1439.06</v>
      </c>
      <c r="H5" s="27">
        <v>1623</v>
      </c>
      <c r="I5" s="27">
        <f>275.91+468</f>
        <v>743.91000000000008</v>
      </c>
      <c r="J5" s="27">
        <f>2026.48+195.48</f>
        <v>2221.96</v>
      </c>
      <c r="K5" s="27">
        <f>481+374.67</f>
        <v>855.67000000000007</v>
      </c>
      <c r="L5" s="27">
        <f>49+49+750</f>
        <v>848</v>
      </c>
      <c r="M5" s="27">
        <f>1345.31+500</f>
        <v>1845.31</v>
      </c>
      <c r="N5" s="27"/>
      <c r="O5" s="27">
        <f>506+1519.94</f>
        <v>2025.94</v>
      </c>
      <c r="P5" s="27">
        <v>1350</v>
      </c>
      <c r="Q5" s="69">
        <v>1800</v>
      </c>
      <c r="R5" s="26">
        <v>1584</v>
      </c>
      <c r="S5" s="26">
        <v>1200</v>
      </c>
      <c r="T5" s="26">
        <v>1000</v>
      </c>
      <c r="U5" s="26">
        <f>700+1350</f>
        <v>2050</v>
      </c>
      <c r="V5" s="104">
        <v>1300</v>
      </c>
      <c r="W5" s="26">
        <v>1221.75</v>
      </c>
      <c r="X5" s="26">
        <f>1406.37+607.47</f>
        <v>2013.84</v>
      </c>
      <c r="Y5" s="26">
        <v>720</v>
      </c>
      <c r="Z5" s="26">
        <v>3902.92</v>
      </c>
      <c r="AA5" s="26">
        <f>773.35+1297</f>
        <v>2070.35</v>
      </c>
      <c r="AB5" s="26">
        <f>2723.89+1425</f>
        <v>4148.8899999999994</v>
      </c>
      <c r="AC5" s="26">
        <f>935.02+625</f>
        <v>1560.02</v>
      </c>
      <c r="AD5" s="26">
        <v>2730.72</v>
      </c>
      <c r="AE5" s="70">
        <f>SUM(AA5:AC5)</f>
        <v>7779.26</v>
      </c>
      <c r="AF5" s="71">
        <f t="shared" ref="AF5:AF24" si="0">AE5/$AE$62</f>
        <v>7.1505894695991529E-2</v>
      </c>
      <c r="AG5" s="72"/>
      <c r="AH5" s="54" t="s">
        <v>186</v>
      </c>
    </row>
    <row r="6" spans="1:34" x14ac:dyDescent="0.3">
      <c r="A6" s="69" t="s">
        <v>187</v>
      </c>
      <c r="B6" s="27">
        <v>1564.74</v>
      </c>
      <c r="C6" s="27">
        <v>144</v>
      </c>
      <c r="D6" s="27"/>
      <c r="E6" s="27">
        <f>70</f>
        <v>70</v>
      </c>
      <c r="F6" s="27">
        <v>138.83000000000001</v>
      </c>
      <c r="G6" s="27">
        <f>324.6+200+759.56+195+498.1</f>
        <v>1977.2599999999998</v>
      </c>
      <c r="H6" s="27">
        <v>2000</v>
      </c>
      <c r="I6" s="27">
        <v>178.5</v>
      </c>
      <c r="J6" s="27">
        <v>479.5</v>
      </c>
      <c r="K6" s="27">
        <v>950</v>
      </c>
      <c r="L6" s="27">
        <f>338.99/2+105+300</f>
        <v>574.495</v>
      </c>
      <c r="M6" s="27">
        <f>3000+582/2+200+250</f>
        <v>3741</v>
      </c>
      <c r="N6" s="27">
        <f>108+24+49+500+1277.04+49+500+2500</f>
        <v>5007.04</v>
      </c>
      <c r="O6" s="27">
        <f>902</f>
        <v>902</v>
      </c>
      <c r="P6" s="27">
        <v>1282</v>
      </c>
      <c r="Q6" s="69">
        <v>1514</v>
      </c>
      <c r="R6" s="26">
        <v>435.2</v>
      </c>
      <c r="S6" s="26">
        <v>3433.41</v>
      </c>
      <c r="T6" s="26"/>
      <c r="U6" s="26">
        <f>2133.71+682.8</f>
        <v>2816.51</v>
      </c>
      <c r="V6" s="104"/>
      <c r="W6" s="26"/>
      <c r="X6" s="26">
        <v>1525.75</v>
      </c>
      <c r="Y6" s="26">
        <v>164.25</v>
      </c>
      <c r="Z6" s="26">
        <f>756.87+675.34</f>
        <v>1432.21</v>
      </c>
      <c r="AA6" s="26">
        <v>1849.82</v>
      </c>
      <c r="AB6" s="26">
        <f>1524</f>
        <v>1524</v>
      </c>
      <c r="AC6" s="26">
        <v>3750</v>
      </c>
      <c r="AD6" s="26"/>
      <c r="AE6" s="70">
        <f>SUM(AA6:AC6)</f>
        <v>7123.82</v>
      </c>
      <c r="AF6" s="71">
        <f t="shared" si="0"/>
        <v>6.5481179797718336E-2</v>
      </c>
      <c r="AG6" s="72"/>
      <c r="AH6" s="54" t="s">
        <v>186</v>
      </c>
    </row>
    <row r="7" spans="1:34" ht="12.9" x14ac:dyDescent="0.35">
      <c r="A7" s="69" t="s">
        <v>188</v>
      </c>
      <c r="B7" s="27">
        <f>275</f>
        <v>275</v>
      </c>
      <c r="C7" s="27">
        <v>225</v>
      </c>
      <c r="D7" s="27">
        <f>578.11+250</f>
        <v>828.11</v>
      </c>
      <c r="E7" s="27">
        <f>216.4</f>
        <v>216.4</v>
      </c>
      <c r="F7" s="27"/>
      <c r="G7" s="27">
        <v>1541.85</v>
      </c>
      <c r="H7" s="27"/>
      <c r="I7" s="27">
        <v>1493.16</v>
      </c>
      <c r="J7" s="27">
        <v>638.57000000000005</v>
      </c>
      <c r="K7" s="27">
        <v>2750</v>
      </c>
      <c r="L7" s="27">
        <f>338.99/2+200+324</f>
        <v>693.495</v>
      </c>
      <c r="M7" s="27">
        <f>582/2+135.16+49+703.65</f>
        <v>1178.81</v>
      </c>
      <c r="N7" s="27">
        <f>72+312+1075</f>
        <v>1459</v>
      </c>
      <c r="O7" s="27">
        <f>902</f>
        <v>902</v>
      </c>
      <c r="P7" s="27">
        <v>170</v>
      </c>
      <c r="Q7" s="69">
        <v>2268.87</v>
      </c>
      <c r="R7" s="26"/>
      <c r="S7" s="26">
        <v>2364.77</v>
      </c>
      <c r="T7" s="26"/>
      <c r="U7" s="26">
        <v>1500</v>
      </c>
      <c r="V7" s="104"/>
      <c r="W7" s="26"/>
      <c r="X7" s="26"/>
      <c r="Y7" s="26">
        <v>2710.13</v>
      </c>
      <c r="Z7" s="26"/>
      <c r="AA7" s="26"/>
      <c r="AB7" s="26"/>
      <c r="AC7" s="26"/>
      <c r="AD7" s="26">
        <v>1730</v>
      </c>
      <c r="AE7" s="70">
        <f>SUM(AA7:AC7)</f>
        <v>0</v>
      </c>
      <c r="AF7" s="73">
        <f t="shared" si="0"/>
        <v>0</v>
      </c>
      <c r="AG7" s="74"/>
      <c r="AH7" s="54" t="s">
        <v>189</v>
      </c>
    </row>
    <row r="8" spans="1:34" ht="12.9" x14ac:dyDescent="0.35">
      <c r="A8" s="75" t="s">
        <v>209</v>
      </c>
      <c r="B8" s="27"/>
      <c r="C8" s="27"/>
      <c r="D8" s="27"/>
      <c r="E8" s="27"/>
      <c r="F8" s="27"/>
      <c r="G8" s="27"/>
      <c r="H8" s="27"/>
      <c r="I8" s="27"/>
      <c r="J8" s="76"/>
      <c r="K8" s="27"/>
      <c r="L8" s="27">
        <f>180.28+800+85.86</f>
        <v>1066.1399999999999</v>
      </c>
      <c r="M8" s="27">
        <v>800</v>
      </c>
      <c r="N8" s="27">
        <f>350+175</f>
        <v>525</v>
      </c>
      <c r="O8" s="27">
        <f>1000</f>
        <v>1000</v>
      </c>
      <c r="P8" s="27"/>
      <c r="Q8" s="69"/>
      <c r="R8" s="26"/>
      <c r="S8" s="26"/>
      <c r="T8" s="26"/>
      <c r="U8" s="26"/>
      <c r="V8" s="104">
        <v>1503.3</v>
      </c>
      <c r="W8" s="26">
        <v>2000</v>
      </c>
      <c r="X8" s="26"/>
      <c r="Y8" s="26"/>
      <c r="Z8" s="26"/>
      <c r="AA8" s="26">
        <f>1796.84/2</f>
        <v>898.42</v>
      </c>
      <c r="AB8" s="26"/>
      <c r="AC8" s="26"/>
      <c r="AD8" s="26"/>
      <c r="AE8" s="70">
        <f t="shared" ref="AE8:AE29" si="1">SUM(AA8:AC8)</f>
        <v>898.42</v>
      </c>
      <c r="AF8" s="73">
        <f t="shared" si="0"/>
        <v>8.2581538491800898E-3</v>
      </c>
      <c r="AG8" s="74"/>
      <c r="AH8" s="54" t="s">
        <v>189</v>
      </c>
    </row>
    <row r="9" spans="1:34" x14ac:dyDescent="0.3">
      <c r="A9" s="69" t="s">
        <v>190</v>
      </c>
      <c r="B9" s="27"/>
      <c r="C9" s="27"/>
      <c r="D9" s="27"/>
      <c r="E9" s="27"/>
      <c r="F9" s="27"/>
      <c r="G9" s="27"/>
      <c r="H9" s="27"/>
      <c r="I9" s="27"/>
      <c r="J9" s="27"/>
      <c r="K9" s="27">
        <f>1711.54+758.03</f>
        <v>2469.5699999999997</v>
      </c>
      <c r="L9" s="27"/>
      <c r="M9" s="27">
        <v>600</v>
      </c>
      <c r="N9" s="27"/>
      <c r="O9" s="27"/>
      <c r="P9" s="27"/>
      <c r="Q9" s="69"/>
      <c r="R9" s="26"/>
      <c r="S9" s="26">
        <v>500</v>
      </c>
      <c r="T9" s="26"/>
      <c r="U9" s="26"/>
      <c r="V9" s="104">
        <v>2430.9</v>
      </c>
      <c r="W9" s="26">
        <v>612.1</v>
      </c>
      <c r="X9" s="26"/>
      <c r="Y9" s="26">
        <v>716.62</v>
      </c>
      <c r="Z9" s="26">
        <v>300</v>
      </c>
      <c r="AA9" s="26">
        <v>997.14</v>
      </c>
      <c r="AB9" s="26"/>
      <c r="AC9" s="26">
        <v>359.4</v>
      </c>
      <c r="AD9" s="26"/>
      <c r="AE9" s="70">
        <f t="shared" si="1"/>
        <v>1356.54</v>
      </c>
      <c r="AF9" s="71">
        <f t="shared" si="0"/>
        <v>1.2469130276003161E-2</v>
      </c>
      <c r="AG9" s="72"/>
      <c r="AH9" s="54" t="s">
        <v>186</v>
      </c>
    </row>
    <row r="10" spans="1:34" ht="12.9" x14ac:dyDescent="0.35">
      <c r="A10" s="75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9">
        <v>937.04</v>
      </c>
      <c r="R10" s="26">
        <v>32.61</v>
      </c>
      <c r="S10" s="26">
        <v>1264.33</v>
      </c>
      <c r="T10" s="26"/>
      <c r="U10" s="26">
        <f>1187.2+112.8</f>
        <v>1300</v>
      </c>
      <c r="V10" s="104">
        <f>928+47</f>
        <v>975</v>
      </c>
      <c r="W10" s="26">
        <v>670.14</v>
      </c>
      <c r="X10" s="26">
        <v>383.85</v>
      </c>
      <c r="Y10" s="26"/>
      <c r="Z10" s="26"/>
      <c r="AA10" s="26">
        <f>492.85/2+1397/2</f>
        <v>944.92499999999995</v>
      </c>
      <c r="AB10" s="26"/>
      <c r="AC10" s="26">
        <v>1164</v>
      </c>
      <c r="AD10" s="26"/>
      <c r="AE10" s="70">
        <f t="shared" si="1"/>
        <v>2108.9250000000002</v>
      </c>
      <c r="AF10" s="73">
        <f t="shared" si="0"/>
        <v>1.9384950364397635E-2</v>
      </c>
      <c r="AG10" s="74"/>
      <c r="AH10" s="54" t="s">
        <v>189</v>
      </c>
    </row>
    <row r="11" spans="1:34" ht="12.9" x14ac:dyDescent="0.35">
      <c r="A11" s="69" t="s">
        <v>192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9"/>
      <c r="R11" s="26"/>
      <c r="S11" s="26"/>
      <c r="T11" s="26"/>
      <c r="U11" s="26"/>
      <c r="V11" s="104"/>
      <c r="W11" s="26">
        <v>380</v>
      </c>
      <c r="X11" s="26"/>
      <c r="Y11" s="26"/>
      <c r="Z11" s="26">
        <v>3200</v>
      </c>
      <c r="AA11" s="26"/>
      <c r="AB11" s="26"/>
      <c r="AC11" s="26"/>
      <c r="AD11" s="26"/>
      <c r="AE11" s="70">
        <f t="shared" si="1"/>
        <v>0</v>
      </c>
      <c r="AF11" s="73">
        <f t="shared" si="0"/>
        <v>0</v>
      </c>
      <c r="AG11" s="74"/>
      <c r="AH11" s="54"/>
    </row>
    <row r="12" spans="1:34" x14ac:dyDescent="0.3">
      <c r="A12" s="69" t="s">
        <v>193</v>
      </c>
      <c r="B12" s="27">
        <f>10.81+390.3+183.68+100</f>
        <v>684.79</v>
      </c>
      <c r="C12" s="27">
        <f>445.58</f>
        <v>445.58</v>
      </c>
      <c r="D12" s="27"/>
      <c r="E12" s="27">
        <f>410</f>
        <v>410</v>
      </c>
      <c r="F12" s="27">
        <v>3094.95</v>
      </c>
      <c r="G12" s="27"/>
      <c r="H12" s="27">
        <v>3613.88</v>
      </c>
      <c r="I12" s="27">
        <f>208.79+175+1004.55</f>
        <v>1388.34</v>
      </c>
      <c r="J12" s="27">
        <f>445+300</f>
        <v>745</v>
      </c>
      <c r="K12" s="27">
        <v>1168.69</v>
      </c>
      <c r="L12" s="27">
        <f>2307.75+325</f>
        <v>2632.75</v>
      </c>
      <c r="M12" s="27">
        <f>3399.45+3*49+4000+200</f>
        <v>7746.45</v>
      </c>
      <c r="N12" s="27">
        <f>49+49+4979</f>
        <v>5077</v>
      </c>
      <c r="O12" s="27">
        <f>4200</f>
        <v>4200</v>
      </c>
      <c r="P12" s="27"/>
      <c r="Q12" s="69">
        <v>2593.69</v>
      </c>
      <c r="R12" s="26">
        <v>3242.24</v>
      </c>
      <c r="S12" s="26">
        <v>3000</v>
      </c>
      <c r="T12" s="26">
        <v>2827.6</v>
      </c>
      <c r="U12" s="26"/>
      <c r="V12" s="104"/>
      <c r="W12" s="26"/>
      <c r="X12" s="26">
        <f>944.44+596.64+400+345.42+187.5</f>
        <v>2474</v>
      </c>
      <c r="Y12" s="26">
        <v>4804.8599999999997</v>
      </c>
      <c r="Z12" s="26">
        <f>140+728+2171.39+1185.83</f>
        <v>4225.2199999999993</v>
      </c>
      <c r="AA12" s="26"/>
      <c r="AB12" s="26">
        <f>8227.92/2</f>
        <v>4113.96</v>
      </c>
      <c r="AC12" s="26"/>
      <c r="AD12" s="26"/>
      <c r="AE12" s="70">
        <f t="shared" si="1"/>
        <v>4113.96</v>
      </c>
      <c r="AF12" s="71">
        <f t="shared" si="0"/>
        <v>3.7814958047876192E-2</v>
      </c>
      <c r="AG12" s="72"/>
      <c r="AH12" s="54" t="s">
        <v>186</v>
      </c>
    </row>
    <row r="13" spans="1:34" x14ac:dyDescent="0.3">
      <c r="A13" s="69" t="s">
        <v>194</v>
      </c>
      <c r="B13" s="27">
        <v>145.94</v>
      </c>
      <c r="C13" s="27"/>
      <c r="D13" s="27">
        <f>194.11</f>
        <v>194.11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900</v>
      </c>
      <c r="Q13" s="69"/>
      <c r="R13" s="26"/>
      <c r="S13" s="26"/>
      <c r="T13" s="26"/>
      <c r="U13" s="26">
        <f>1200+750</f>
        <v>1950</v>
      </c>
      <c r="V13" s="104">
        <v>117</v>
      </c>
      <c r="W13" s="26"/>
      <c r="X13" s="26"/>
      <c r="Y13" s="26">
        <v>374.32</v>
      </c>
      <c r="Z13" s="26"/>
      <c r="AA13" s="26">
        <v>727.14</v>
      </c>
      <c r="AB13" s="26">
        <v>454.78</v>
      </c>
      <c r="AC13" s="26">
        <v>654.94000000000005</v>
      </c>
      <c r="AD13" s="26"/>
      <c r="AE13" s="70">
        <f t="shared" si="1"/>
        <v>1836.8600000000001</v>
      </c>
      <c r="AF13" s="71">
        <f t="shared" si="0"/>
        <v>1.6884166068659362E-2</v>
      </c>
      <c r="AG13" s="72"/>
      <c r="AH13" s="54" t="s">
        <v>195</v>
      </c>
    </row>
    <row r="14" spans="1:34" x14ac:dyDescent="0.3">
      <c r="A14" s="69" t="s">
        <v>196</v>
      </c>
      <c r="B14" s="27">
        <f>175.11</f>
        <v>175.11</v>
      </c>
      <c r="C14" s="27"/>
      <c r="D14" s="27"/>
      <c r="E14" s="27">
        <v>505.85</v>
      </c>
      <c r="F14" s="27"/>
      <c r="G14" s="27">
        <v>1500</v>
      </c>
      <c r="H14" s="27">
        <v>802.9</v>
      </c>
      <c r="I14" s="27">
        <v>100</v>
      </c>
      <c r="J14" s="27">
        <v>661.02</v>
      </c>
      <c r="K14" s="27">
        <v>2684.6</v>
      </c>
      <c r="L14" s="27"/>
      <c r="M14" s="27"/>
      <c r="N14" s="27">
        <f>735+848.45</f>
        <v>1583.45</v>
      </c>
      <c r="O14" s="27"/>
      <c r="P14" s="27"/>
      <c r="Q14" s="69">
        <v>500</v>
      </c>
      <c r="R14" s="26"/>
      <c r="S14" s="26"/>
      <c r="T14" s="26">
        <v>202.01</v>
      </c>
      <c r="U14" s="26">
        <f>700+4000</f>
        <v>4700</v>
      </c>
      <c r="V14" s="104"/>
      <c r="W14" s="26"/>
      <c r="X14" s="26">
        <v>1337.07</v>
      </c>
      <c r="Y14" s="26"/>
      <c r="Z14" s="26"/>
      <c r="AA14" s="26"/>
      <c r="AB14" s="26"/>
      <c r="AC14" s="26"/>
      <c r="AD14" s="26"/>
      <c r="AE14" s="70">
        <f t="shared" si="1"/>
        <v>0</v>
      </c>
      <c r="AF14" s="71">
        <f t="shared" si="0"/>
        <v>0</v>
      </c>
      <c r="AG14" s="72"/>
      <c r="AH14" s="54" t="s">
        <v>195</v>
      </c>
    </row>
    <row r="15" spans="1:34" x14ac:dyDescent="0.3">
      <c r="A15" s="77" t="s">
        <v>212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6">
        <v>1700</v>
      </c>
      <c r="S15" s="26"/>
      <c r="T15" s="26"/>
      <c r="U15" s="26">
        <v>668</v>
      </c>
      <c r="V15" s="104">
        <v>315</v>
      </c>
      <c r="W15" s="26">
        <v>2025</v>
      </c>
      <c r="X15" s="26">
        <v>1071.3800000000001</v>
      </c>
      <c r="Y15" s="26">
        <v>368</v>
      </c>
      <c r="Z15" s="26"/>
      <c r="AA15" s="26">
        <v>280</v>
      </c>
      <c r="AB15" s="26">
        <f>800+814</f>
        <v>1614</v>
      </c>
      <c r="AC15" s="26"/>
      <c r="AD15" s="26">
        <v>2099.5</v>
      </c>
      <c r="AE15" s="70">
        <f t="shared" si="1"/>
        <v>1894</v>
      </c>
      <c r="AF15" s="71">
        <f t="shared" si="0"/>
        <v>1.7409389139096516E-2</v>
      </c>
      <c r="AG15" s="72"/>
      <c r="AH15" s="54" t="s">
        <v>186</v>
      </c>
    </row>
    <row r="16" spans="1:34" ht="12.9" x14ac:dyDescent="0.35">
      <c r="A16" s="77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6">
        <v>522</v>
      </c>
      <c r="S16" s="26">
        <v>1168</v>
      </c>
      <c r="T16" s="26">
        <v>1387</v>
      </c>
      <c r="U16" s="26">
        <v>1612</v>
      </c>
      <c r="V16" s="104">
        <v>1695</v>
      </c>
      <c r="W16" s="26">
        <v>1145</v>
      </c>
      <c r="X16" s="26">
        <v>556</v>
      </c>
      <c r="Y16" s="27">
        <v>1463</v>
      </c>
      <c r="Z16" s="27">
        <v>2257.21</v>
      </c>
      <c r="AA16" s="27">
        <v>1580</v>
      </c>
      <c r="AB16" s="27">
        <f>1350+960</f>
        <v>2310</v>
      </c>
      <c r="AC16" s="27"/>
      <c r="AD16" s="27"/>
      <c r="AE16" s="70">
        <f t="shared" si="1"/>
        <v>3890</v>
      </c>
      <c r="AF16" s="73">
        <f t="shared" si="0"/>
        <v>3.5756348337426316E-2</v>
      </c>
      <c r="AG16" s="78"/>
      <c r="AH16" s="79" t="s">
        <v>189</v>
      </c>
    </row>
    <row r="17" spans="1:34" x14ac:dyDescent="0.3">
      <c r="A17" s="69" t="s">
        <v>197</v>
      </c>
      <c r="B17" s="27">
        <f>192.5</f>
        <v>192.5</v>
      </c>
      <c r="C17" s="27">
        <f>708.71+200</f>
        <v>908.71</v>
      </c>
      <c r="D17" s="27">
        <f>389.52</f>
        <v>389.52</v>
      </c>
      <c r="E17" s="27"/>
      <c r="F17" s="27">
        <v>212.5</v>
      </c>
      <c r="G17" s="27">
        <f>922.08+372.5</f>
        <v>1294.58</v>
      </c>
      <c r="H17" s="27">
        <f>60.54+543</f>
        <v>603.54</v>
      </c>
      <c r="I17" s="27">
        <f>433.34+259.68</f>
        <v>693.02</v>
      </c>
      <c r="J17" s="27"/>
      <c r="K17" s="27">
        <v>2389.58</v>
      </c>
      <c r="L17" s="27">
        <f>486.44+1000</f>
        <v>1486.44</v>
      </c>
      <c r="M17" s="27">
        <f>88.43+60+2026.75+273.9</f>
        <v>2449.08</v>
      </c>
      <c r="N17" s="27">
        <f>49</f>
        <v>49</v>
      </c>
      <c r="O17" s="27">
        <f>305+314+49+49</f>
        <v>717</v>
      </c>
      <c r="P17" s="27"/>
      <c r="Q17" s="69"/>
      <c r="R17" s="26">
        <f>677.7+1295.53-677.7</f>
        <v>1295.53</v>
      </c>
      <c r="S17" s="26">
        <v>1510.24</v>
      </c>
      <c r="T17" s="26">
        <v>2000</v>
      </c>
      <c r="U17" s="26"/>
      <c r="V17" s="104">
        <v>1170</v>
      </c>
      <c r="W17" s="26">
        <v>1877.38</v>
      </c>
      <c r="X17" s="26">
        <v>1850</v>
      </c>
      <c r="Y17" s="26"/>
      <c r="Z17" s="26"/>
      <c r="AA17" s="26">
        <v>2250</v>
      </c>
      <c r="AB17" s="26">
        <v>1330</v>
      </c>
      <c r="AC17" s="26">
        <v>1550</v>
      </c>
      <c r="AD17" s="26"/>
      <c r="AE17" s="70">
        <f t="shared" si="1"/>
        <v>5130</v>
      </c>
      <c r="AF17" s="71">
        <f t="shared" si="0"/>
        <v>4.7154258861438821E-2</v>
      </c>
      <c r="AG17" s="72"/>
      <c r="AH17" s="54" t="s">
        <v>186</v>
      </c>
    </row>
    <row r="18" spans="1:34" ht="12.9" x14ac:dyDescent="0.35">
      <c r="A18" s="69" t="s">
        <v>198</v>
      </c>
      <c r="B18" s="27">
        <f>1280.46+350+129.4</f>
        <v>1759.8600000000001</v>
      </c>
      <c r="C18" s="27">
        <v>200</v>
      </c>
      <c r="D18" s="27">
        <f>90+164+288.24</f>
        <v>542.24</v>
      </c>
      <c r="E18" s="27">
        <f>289.5</f>
        <v>289.5</v>
      </c>
      <c r="F18" s="27">
        <v>1247.54</v>
      </c>
      <c r="G18" s="27">
        <v>246</v>
      </c>
      <c r="H18" s="27">
        <v>526</v>
      </c>
      <c r="I18" s="27">
        <v>298</v>
      </c>
      <c r="J18" s="27">
        <f>2738.66+239.62</f>
        <v>2978.2799999999997</v>
      </c>
      <c r="K18" s="27"/>
      <c r="L18" s="27">
        <f>49</f>
        <v>49</v>
      </c>
      <c r="M18" s="27">
        <f>49</f>
        <v>49</v>
      </c>
      <c r="N18" s="27">
        <f>233.92+514.25</f>
        <v>748.17</v>
      </c>
      <c r="O18" s="27">
        <f>480</f>
        <v>480</v>
      </c>
      <c r="P18" s="27">
        <v>300</v>
      </c>
      <c r="Q18" s="69"/>
      <c r="R18" s="26">
        <f>464.88+214.05</f>
        <v>678.93000000000006</v>
      </c>
      <c r="S18" s="26"/>
      <c r="T18" s="26"/>
      <c r="U18" s="26">
        <v>2400.3200000000002</v>
      </c>
      <c r="V18" s="104">
        <v>1660.5</v>
      </c>
      <c r="W18" s="26"/>
      <c r="X18" s="26">
        <v>1664.4</v>
      </c>
      <c r="Y18" s="26"/>
      <c r="Z18" s="26">
        <v>836.59</v>
      </c>
      <c r="AA18" s="26">
        <v>1543.11</v>
      </c>
      <c r="AB18" s="26"/>
      <c r="AC18" s="26"/>
      <c r="AD18" s="26"/>
      <c r="AE18" s="70">
        <f t="shared" si="1"/>
        <v>1543.11</v>
      </c>
      <c r="AF18" s="73">
        <f t="shared" si="0"/>
        <v>1.4184056216700752E-2</v>
      </c>
      <c r="AG18" s="74"/>
      <c r="AH18" s="54" t="s">
        <v>189</v>
      </c>
    </row>
    <row r="19" spans="1:34" ht="12.9" x14ac:dyDescent="0.35">
      <c r="A19" s="69" t="s">
        <v>199</v>
      </c>
      <c r="B19" s="27">
        <f>289.71</f>
        <v>289.70999999999998</v>
      </c>
      <c r="C19" s="27">
        <v>185.56</v>
      </c>
      <c r="D19" s="27">
        <f>529.96</f>
        <v>529.96</v>
      </c>
      <c r="E19" s="27">
        <f>503.67</f>
        <v>503.67</v>
      </c>
      <c r="F19" s="27">
        <f>778.07</f>
        <v>778.07</v>
      </c>
      <c r="G19" s="27"/>
      <c r="H19" s="27">
        <v>106.5</v>
      </c>
      <c r="I19" s="27">
        <f>417.59+750+106.5</f>
        <v>1274.0899999999999</v>
      </c>
      <c r="J19" s="27"/>
      <c r="K19" s="27">
        <f>1129.44+401.82</f>
        <v>1531.26</v>
      </c>
      <c r="L19" s="27">
        <v>49</v>
      </c>
      <c r="M19" s="27">
        <f>320+1489.41</f>
        <v>1809.41</v>
      </c>
      <c r="N19" s="27">
        <f>49+510.68+49+120+49+805.99+51.66+49</f>
        <v>1684.3300000000002</v>
      </c>
      <c r="O19" s="27">
        <f>303.45+718.08+142.53+125.07+482.45</f>
        <v>1771.58</v>
      </c>
      <c r="P19" s="27">
        <v>1220.74</v>
      </c>
      <c r="Q19" s="69">
        <v>1212.6500000000001</v>
      </c>
      <c r="R19" s="26"/>
      <c r="S19" s="26">
        <v>1766.68</v>
      </c>
      <c r="T19" s="26"/>
      <c r="U19" s="26"/>
      <c r="V19" s="104">
        <v>1729.28</v>
      </c>
      <c r="W19" s="26"/>
      <c r="X19" s="26"/>
      <c r="Y19" s="26"/>
      <c r="Z19" s="26"/>
      <c r="AA19" s="26">
        <v>538</v>
      </c>
      <c r="AB19" s="26"/>
      <c r="AC19" s="26">
        <v>1000</v>
      </c>
      <c r="AD19" s="26"/>
      <c r="AE19" s="70">
        <f t="shared" si="1"/>
        <v>1538</v>
      </c>
      <c r="AF19" s="73">
        <f t="shared" si="0"/>
        <v>1.4137085795105829E-2</v>
      </c>
      <c r="AG19" s="74"/>
      <c r="AH19" s="54" t="s">
        <v>189</v>
      </c>
    </row>
    <row r="20" spans="1:34" x14ac:dyDescent="0.3">
      <c r="A20" s="69" t="s">
        <v>200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69"/>
      <c r="R20" s="26"/>
      <c r="S20" s="26"/>
      <c r="T20" s="26"/>
      <c r="U20" s="26"/>
      <c r="V20" s="104"/>
      <c r="W20" s="26"/>
      <c r="X20" s="26">
        <v>452.5</v>
      </c>
      <c r="Y20" s="26">
        <v>91.97</v>
      </c>
      <c r="Z20" s="26"/>
      <c r="AA20" s="26"/>
      <c r="AB20" s="26">
        <v>111</v>
      </c>
      <c r="AC20" s="26"/>
      <c r="AD20" s="26"/>
      <c r="AE20" s="70">
        <f t="shared" si="1"/>
        <v>111</v>
      </c>
      <c r="AF20" s="71">
        <f t="shared" si="0"/>
        <v>1.0202968291656352E-3</v>
      </c>
      <c r="AG20" s="72"/>
      <c r="AH20" s="54" t="s">
        <v>186</v>
      </c>
    </row>
    <row r="21" spans="1:34" ht="12.9" x14ac:dyDescent="0.35">
      <c r="A21" s="69" t="s">
        <v>201</v>
      </c>
      <c r="B21" s="27">
        <f>291.29</f>
        <v>291.29000000000002</v>
      </c>
      <c r="C21" s="27">
        <f>126.69</f>
        <v>126.69</v>
      </c>
      <c r="D21" s="27"/>
      <c r="E21" s="27"/>
      <c r="F21" s="27"/>
      <c r="G21" s="27">
        <v>50</v>
      </c>
      <c r="H21" s="27">
        <v>319.73</v>
      </c>
      <c r="I21" s="27"/>
      <c r="J21" s="76" t="s">
        <v>202</v>
      </c>
      <c r="K21" s="27"/>
      <c r="L21" s="27">
        <f>2598.85+23.55</f>
        <v>2622.4</v>
      </c>
      <c r="M21" s="27">
        <f>456.63+508.34+825</f>
        <v>1789.97</v>
      </c>
      <c r="N21" s="27">
        <v>341.63</v>
      </c>
      <c r="O21" s="27">
        <f>757.25</f>
        <v>757.25</v>
      </c>
      <c r="P21" s="27">
        <v>181.7</v>
      </c>
      <c r="Q21" s="69">
        <v>136.5</v>
      </c>
      <c r="R21" s="26"/>
      <c r="S21" s="26">
        <v>1100</v>
      </c>
      <c r="T21" s="26"/>
      <c r="U21" s="26"/>
      <c r="V21" s="104"/>
      <c r="W21" s="26">
        <v>1326</v>
      </c>
      <c r="X21" s="26">
        <v>452.5</v>
      </c>
      <c r="Y21" s="26">
        <v>91.97</v>
      </c>
      <c r="Z21" s="26"/>
      <c r="AA21" s="26"/>
      <c r="AB21" s="26">
        <v>111</v>
      </c>
      <c r="AC21" s="26"/>
      <c r="AD21" s="26"/>
      <c r="AE21" s="70">
        <f t="shared" si="1"/>
        <v>111</v>
      </c>
      <c r="AF21" s="73">
        <f t="shared" si="0"/>
        <v>1.0202968291656352E-3</v>
      </c>
      <c r="AG21" s="74"/>
      <c r="AH21" s="54" t="s">
        <v>189</v>
      </c>
    </row>
    <row r="22" spans="1:34" x14ac:dyDescent="0.3">
      <c r="A22" s="69" t="s">
        <v>203</v>
      </c>
      <c r="B22" s="27">
        <f>149.4</f>
        <v>149.4</v>
      </c>
      <c r="C22" s="27">
        <f>430.67</f>
        <v>430.67</v>
      </c>
      <c r="D22" s="27">
        <f>172.85</f>
        <v>172.85</v>
      </c>
      <c r="E22" s="27">
        <f>45+212.07</f>
        <v>257.07</v>
      </c>
      <c r="F22" s="27">
        <f>216.7+820</f>
        <v>1036.7</v>
      </c>
      <c r="G22" s="27"/>
      <c r="H22" s="27"/>
      <c r="I22" s="27"/>
      <c r="J22" s="27">
        <f>232.62+120+232.85</f>
        <v>585.47</v>
      </c>
      <c r="K22" s="27">
        <f>1015+861+277.8</f>
        <v>2153.8000000000002</v>
      </c>
      <c r="L22" s="27">
        <f>44.85+40+50</f>
        <v>134.85</v>
      </c>
      <c r="M22" s="27">
        <v>135</v>
      </c>
      <c r="N22" s="27">
        <f>20+127.37</f>
        <v>147.37</v>
      </c>
      <c r="O22" s="27">
        <f>104</f>
        <v>104</v>
      </c>
      <c r="P22" s="27"/>
      <c r="Q22" s="69"/>
      <c r="R22" s="26">
        <v>831.5</v>
      </c>
      <c r="S22" s="26"/>
      <c r="T22" s="26">
        <v>800</v>
      </c>
      <c r="U22" s="26"/>
      <c r="V22" s="104"/>
      <c r="W22" s="26"/>
      <c r="X22" s="26"/>
      <c r="Y22" s="26"/>
      <c r="Z22" s="26">
        <v>3600</v>
      </c>
      <c r="AA22" s="26">
        <f>337+1769.9</f>
        <v>2106.9</v>
      </c>
      <c r="AB22" s="26"/>
      <c r="AC22" s="26"/>
      <c r="AD22" s="26"/>
      <c r="AE22" s="70">
        <f t="shared" si="1"/>
        <v>2106.9</v>
      </c>
      <c r="AF22" s="71">
        <f t="shared" si="0"/>
        <v>1.9366336841162856E-2</v>
      </c>
      <c r="AG22" s="72"/>
      <c r="AH22" s="54" t="s">
        <v>195</v>
      </c>
    </row>
    <row r="23" spans="1:34" x14ac:dyDescent="0.3">
      <c r="A23" s="75" t="s">
        <v>204</v>
      </c>
      <c r="B23" s="27"/>
      <c r="C23" s="27"/>
      <c r="D23" s="27"/>
      <c r="E23" s="27"/>
      <c r="F23" s="27">
        <v>844.75</v>
      </c>
      <c r="G23" s="27">
        <v>162.30000000000001</v>
      </c>
      <c r="H23" s="27">
        <v>210.99</v>
      </c>
      <c r="I23" s="27"/>
      <c r="J23" s="76" t="s">
        <v>205</v>
      </c>
      <c r="K23" s="27">
        <v>358.4</v>
      </c>
      <c r="L23" s="27"/>
      <c r="M23" s="27">
        <f>1000+300+49</f>
        <v>1349</v>
      </c>
      <c r="N23" s="27">
        <f>190.4+576+489.38</f>
        <v>1255.78</v>
      </c>
      <c r="O23" s="27"/>
      <c r="P23" s="27">
        <v>480.5</v>
      </c>
      <c r="Q23" s="69">
        <v>391.8</v>
      </c>
      <c r="R23" s="26"/>
      <c r="S23" s="26"/>
      <c r="T23" s="26"/>
      <c r="U23" s="26">
        <v>2189.4</v>
      </c>
      <c r="V23" s="104"/>
      <c r="W23" s="26">
        <v>1338.28</v>
      </c>
      <c r="X23" s="26">
        <v>858.2</v>
      </c>
      <c r="Y23" s="26"/>
      <c r="Z23" s="26">
        <v>974</v>
      </c>
      <c r="AA23" s="26"/>
      <c r="AB23" s="26"/>
      <c r="AC23" s="26"/>
      <c r="AD23" s="26">
        <f>2080/2</f>
        <v>1040</v>
      </c>
      <c r="AE23" s="70">
        <f t="shared" si="1"/>
        <v>0</v>
      </c>
      <c r="AF23" s="71">
        <f t="shared" si="0"/>
        <v>0</v>
      </c>
      <c r="AG23" s="72"/>
      <c r="AH23" s="54" t="s">
        <v>186</v>
      </c>
    </row>
    <row r="24" spans="1:34" ht="12.9" x14ac:dyDescent="0.35">
      <c r="A24" s="75" t="s">
        <v>206</v>
      </c>
      <c r="B24" s="27"/>
      <c r="C24" s="27"/>
      <c r="D24" s="27"/>
      <c r="E24" s="27"/>
      <c r="F24" s="27"/>
      <c r="G24" s="27"/>
      <c r="H24" s="27"/>
      <c r="I24" s="27"/>
      <c r="J24" s="76"/>
      <c r="K24" s="27"/>
      <c r="L24" s="27"/>
      <c r="M24" s="27"/>
      <c r="N24" s="27"/>
      <c r="O24" s="27"/>
      <c r="P24" s="27"/>
      <c r="Q24" s="69"/>
      <c r="R24" s="26">
        <v>886</v>
      </c>
      <c r="S24" s="26"/>
      <c r="T24" s="26">
        <v>2000</v>
      </c>
      <c r="U24" s="26"/>
      <c r="V24" s="104">
        <v>1000</v>
      </c>
      <c r="W24" s="26"/>
      <c r="X24" s="26"/>
      <c r="Y24" s="26"/>
      <c r="Z24" s="26"/>
      <c r="AA24" s="26"/>
      <c r="AB24" s="26"/>
      <c r="AC24" s="26">
        <v>800</v>
      </c>
      <c r="AD24" s="26">
        <f>2080/2</f>
        <v>1040</v>
      </c>
      <c r="AE24" s="70">
        <f t="shared" si="1"/>
        <v>800</v>
      </c>
      <c r="AF24" s="73">
        <f t="shared" si="0"/>
        <v>7.3534906606532273E-3</v>
      </c>
      <c r="AG24" s="74"/>
      <c r="AH24" s="54" t="s">
        <v>189</v>
      </c>
    </row>
    <row r="25" spans="1:34" ht="12.9" x14ac:dyDescent="0.35">
      <c r="A25" s="75" t="s">
        <v>316</v>
      </c>
      <c r="B25" s="27"/>
      <c r="C25" s="27"/>
      <c r="D25" s="27"/>
      <c r="E25" s="27"/>
      <c r="F25" s="27"/>
      <c r="G25" s="27"/>
      <c r="H25" s="27"/>
      <c r="I25" s="27"/>
      <c r="J25" s="76"/>
      <c r="K25" s="27"/>
      <c r="L25" s="27"/>
      <c r="M25" s="27"/>
      <c r="N25" s="27"/>
      <c r="O25" s="27"/>
      <c r="P25" s="27"/>
      <c r="Q25" s="69"/>
      <c r="R25" s="26"/>
      <c r="S25" s="26"/>
      <c r="T25" s="26"/>
      <c r="U25" s="26"/>
      <c r="V25" s="104"/>
      <c r="W25" s="26"/>
      <c r="X25" s="26">
        <v>195</v>
      </c>
      <c r="Y25" s="26">
        <v>150</v>
      </c>
      <c r="Z25" s="26">
        <f>172.5+270</f>
        <v>442.5</v>
      </c>
      <c r="AA25" s="26"/>
      <c r="AB25" s="26"/>
      <c r="AC25" s="26"/>
      <c r="AD25" s="26"/>
      <c r="AE25" s="70">
        <f t="shared" si="1"/>
        <v>0</v>
      </c>
      <c r="AF25" s="73"/>
      <c r="AG25" s="74"/>
      <c r="AH25" s="54"/>
    </row>
    <row r="26" spans="1:34" x14ac:dyDescent="0.3">
      <c r="A26" s="77" t="s">
        <v>207</v>
      </c>
      <c r="B26" s="27"/>
      <c r="C26" s="27"/>
      <c r="D26" s="27"/>
      <c r="E26" s="27"/>
      <c r="F26" s="27"/>
      <c r="G26" s="27">
        <v>2000</v>
      </c>
      <c r="H26" s="27"/>
      <c r="I26" s="27"/>
      <c r="J26" s="27">
        <v>314.39999999999998</v>
      </c>
      <c r="K26" s="27">
        <v>394.75</v>
      </c>
      <c r="L26" s="27"/>
      <c r="M26" s="27">
        <f>49+505+960.7</f>
        <v>1514.7</v>
      </c>
      <c r="N26" s="27">
        <v>320.98</v>
      </c>
      <c r="O26" s="27">
        <f>554.72+49+49+236+404.74+49</f>
        <v>1342.46</v>
      </c>
      <c r="P26" s="27">
        <v>1000</v>
      </c>
      <c r="Q26" s="69"/>
      <c r="R26" s="26">
        <v>1068.96</v>
      </c>
      <c r="S26" s="26">
        <f>108+268+794.24</f>
        <v>1170.24</v>
      </c>
      <c r="T26" s="26">
        <v>794.24</v>
      </c>
      <c r="U26" s="26">
        <v>1068</v>
      </c>
      <c r="V26" s="104"/>
      <c r="W26" s="26"/>
      <c r="X26" s="26"/>
      <c r="Y26" s="26">
        <v>662.5</v>
      </c>
      <c r="Z26" s="26">
        <v>225</v>
      </c>
      <c r="AA26" s="26">
        <f>719.36+617.35</f>
        <v>1336.71</v>
      </c>
      <c r="AB26" s="26"/>
      <c r="AC26" s="26"/>
      <c r="AD26" s="26"/>
      <c r="AE26" s="70">
        <f t="shared" si="1"/>
        <v>1336.71</v>
      </c>
      <c r="AF26" s="71">
        <f>AE26/$AE$62</f>
        <v>1.228685562625222E-2</v>
      </c>
      <c r="AG26" s="72"/>
      <c r="AH26" s="54" t="s">
        <v>195</v>
      </c>
    </row>
    <row r="27" spans="1:34" x14ac:dyDescent="0.3">
      <c r="A27" s="69" t="s">
        <v>208</v>
      </c>
      <c r="B27" s="27"/>
      <c r="C27" s="27"/>
      <c r="D27" s="27"/>
      <c r="E27" s="27">
        <f>1416.23</f>
        <v>1416.23</v>
      </c>
      <c r="F27" s="27">
        <v>171</v>
      </c>
      <c r="G27" s="27"/>
      <c r="H27" s="27"/>
      <c r="I27" s="27"/>
      <c r="J27" s="27"/>
      <c r="K27" s="27"/>
      <c r="L27" s="27"/>
      <c r="M27" s="27">
        <f>49+1000</f>
        <v>1049</v>
      </c>
      <c r="N27" s="27">
        <f>49+49</f>
        <v>98</v>
      </c>
      <c r="O27" s="27"/>
      <c r="P27" s="27">
        <v>297.01</v>
      </c>
      <c r="Q27" s="69">
        <v>224</v>
      </c>
      <c r="R27" s="26">
        <v>1306</v>
      </c>
      <c r="S27" s="26"/>
      <c r="T27" s="26">
        <f>833+1154.45</f>
        <v>1987.45</v>
      </c>
      <c r="U27" s="26">
        <v>496.87</v>
      </c>
      <c r="V27" s="104">
        <f>223+409</f>
        <v>632</v>
      </c>
      <c r="W27" s="26">
        <v>2157.84</v>
      </c>
      <c r="X27" s="26"/>
      <c r="Y27" s="26">
        <f>396.7+265.48</f>
        <v>662.18000000000006</v>
      </c>
      <c r="Z27" s="26"/>
      <c r="AA27" s="26">
        <f>1562.57/2</f>
        <v>781.28499999999997</v>
      </c>
      <c r="AB27" s="26"/>
      <c r="AC27" s="26"/>
      <c r="AD27" s="26">
        <f>794.64+840.48</f>
        <v>1635.12</v>
      </c>
      <c r="AE27" s="70">
        <f t="shared" si="1"/>
        <v>781.28499999999997</v>
      </c>
      <c r="AF27" s="71">
        <f>AE27/$AE$62</f>
        <v>7.1814649385105707E-3</v>
      </c>
      <c r="AG27" s="72"/>
      <c r="AH27" s="54" t="s">
        <v>186</v>
      </c>
    </row>
    <row r="28" spans="1:34" x14ac:dyDescent="0.3">
      <c r="A28" s="77" t="s">
        <v>210</v>
      </c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6"/>
      <c r="Q28" s="26">
        <v>800</v>
      </c>
      <c r="R28" s="26">
        <v>1000</v>
      </c>
      <c r="S28" s="26">
        <v>572</v>
      </c>
      <c r="T28" s="26"/>
      <c r="U28" s="26">
        <f>1376.98+1000</f>
        <v>2376.98</v>
      </c>
      <c r="V28" s="104">
        <v>500</v>
      </c>
      <c r="W28" s="26"/>
      <c r="X28" s="26">
        <v>477</v>
      </c>
      <c r="Y28" s="26"/>
      <c r="Z28" s="26">
        <f>1500+1500</f>
        <v>3000</v>
      </c>
      <c r="AA28" s="26"/>
      <c r="AB28" s="198">
        <v>715</v>
      </c>
      <c r="AC28" s="198">
        <f>745+1670</f>
        <v>2415</v>
      </c>
      <c r="AD28" s="198"/>
      <c r="AE28" s="70">
        <f t="shared" si="1"/>
        <v>3130</v>
      </c>
      <c r="AF28" s="71">
        <f>AE28/$AE$62</f>
        <v>2.8770532209805754E-2</v>
      </c>
      <c r="AG28" s="72"/>
      <c r="AH28" s="54" t="s">
        <v>186</v>
      </c>
    </row>
    <row r="29" spans="1:34" ht="13.3" thickBot="1" x14ac:dyDescent="0.4">
      <c r="A29" s="77" t="s">
        <v>211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6">
        <v>800</v>
      </c>
      <c r="S29" s="26"/>
      <c r="T29" s="26"/>
      <c r="U29" s="26">
        <v>1376.97</v>
      </c>
      <c r="V29" s="104"/>
      <c r="W29" s="26"/>
      <c r="X29" s="26">
        <v>1424</v>
      </c>
      <c r="Y29" s="26"/>
      <c r="Z29" s="26"/>
      <c r="AA29" s="26"/>
      <c r="AB29" s="26"/>
      <c r="AC29" s="26"/>
      <c r="AD29" s="26"/>
      <c r="AE29" s="70">
        <f t="shared" si="1"/>
        <v>0</v>
      </c>
      <c r="AF29" s="73">
        <f>AE29/$AE$62</f>
        <v>0</v>
      </c>
      <c r="AG29" s="74"/>
      <c r="AH29" s="54" t="s">
        <v>189</v>
      </c>
    </row>
    <row r="30" spans="1:34" ht="12.9" hidden="1" thickBot="1" x14ac:dyDescent="0.35">
      <c r="A30" s="4" t="s">
        <v>214</v>
      </c>
      <c r="B30" s="18"/>
      <c r="C30" s="18"/>
      <c r="D30" s="18">
        <f>324.59</f>
        <v>324.58999999999997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80"/>
      <c r="S30" s="80"/>
      <c r="T30" s="80"/>
      <c r="U30" s="80"/>
      <c r="V30" s="105"/>
      <c r="W30" s="80"/>
      <c r="X30" s="80"/>
      <c r="Y30" s="80"/>
      <c r="Z30" s="80"/>
      <c r="AA30" s="80"/>
      <c r="AB30" s="80"/>
      <c r="AC30" s="80"/>
      <c r="AD30" s="80"/>
      <c r="AE30" s="35">
        <f t="shared" ref="AE30:AE62" si="2">U30+V30+W30</f>
        <v>0</v>
      </c>
    </row>
    <row r="31" spans="1:34" ht="12.9" hidden="1" thickBot="1" x14ac:dyDescent="0.35">
      <c r="A31" t="s">
        <v>215</v>
      </c>
      <c r="B31" s="18">
        <v>1002.54</v>
      </c>
      <c r="C31" s="18"/>
      <c r="D31" s="18"/>
      <c r="E31" s="18"/>
      <c r="F31" s="18">
        <v>1451.77</v>
      </c>
      <c r="G31" s="18"/>
      <c r="H31" s="18"/>
      <c r="I31" s="18"/>
      <c r="J31" s="18"/>
      <c r="K31" s="18"/>
      <c r="L31" s="18">
        <v>2260</v>
      </c>
      <c r="M31" s="18"/>
      <c r="N31" s="18"/>
      <c r="O31" s="18"/>
      <c r="P31" s="18"/>
      <c r="Q31" s="18"/>
      <c r="R31" s="80"/>
      <c r="S31" s="80"/>
      <c r="T31" s="80"/>
      <c r="U31" s="80"/>
      <c r="V31" s="105"/>
      <c r="W31" s="80">
        <v>140.4</v>
      </c>
      <c r="X31" s="80"/>
      <c r="Y31" s="80"/>
      <c r="Z31" s="80"/>
      <c r="AA31" s="80"/>
      <c r="AB31" s="80"/>
      <c r="AC31" s="80"/>
      <c r="AD31" s="80"/>
      <c r="AE31" s="35">
        <f t="shared" si="2"/>
        <v>140.4</v>
      </c>
    </row>
    <row r="32" spans="1:34" ht="12.9" hidden="1" thickBot="1" x14ac:dyDescent="0.35">
      <c r="A32" t="s">
        <v>216</v>
      </c>
      <c r="B32" s="18"/>
      <c r="C32" s="18"/>
      <c r="D32" s="18">
        <f>150</f>
        <v>150</v>
      </c>
      <c r="E32" s="18"/>
      <c r="F32" s="18"/>
      <c r="G32" s="18"/>
      <c r="H32" s="18"/>
      <c r="I32" s="18"/>
      <c r="J32" s="18"/>
      <c r="K32" s="18"/>
      <c r="L32" s="18"/>
      <c r="M32" s="18">
        <v>350</v>
      </c>
      <c r="N32" s="18"/>
      <c r="O32" s="18"/>
      <c r="P32" s="18"/>
      <c r="Q32" s="18">
        <v>319.5</v>
      </c>
      <c r="R32" s="80"/>
      <c r="S32" s="80"/>
      <c r="T32" s="80"/>
      <c r="U32" s="80"/>
      <c r="V32" s="105"/>
      <c r="W32" s="80">
        <v>116.4</v>
      </c>
      <c r="X32" s="80"/>
      <c r="Y32" s="80"/>
      <c r="Z32" s="80"/>
      <c r="AA32" s="80"/>
      <c r="AB32" s="80"/>
      <c r="AC32" s="80"/>
      <c r="AD32" s="80"/>
      <c r="AE32" s="35">
        <f t="shared" si="2"/>
        <v>116.4</v>
      </c>
    </row>
    <row r="33" spans="1:34" ht="12.9" hidden="1" thickBot="1" x14ac:dyDescent="0.35">
      <c r="A33" s="81" t="s">
        <v>217</v>
      </c>
      <c r="B33" s="18"/>
      <c r="C33" s="18"/>
      <c r="D33" s="18">
        <f>368.5+160.72</f>
        <v>529.22</v>
      </c>
      <c r="E33" s="18">
        <f>250</f>
        <v>250</v>
      </c>
      <c r="F33" s="18"/>
      <c r="G33" s="18"/>
      <c r="H33" s="18">
        <v>435.87</v>
      </c>
      <c r="I33" s="18"/>
      <c r="J33" s="18"/>
      <c r="K33" s="18"/>
      <c r="L33" s="18"/>
      <c r="M33" s="18"/>
      <c r="N33" s="18"/>
      <c r="O33" s="18"/>
      <c r="P33" s="18">
        <v>1600</v>
      </c>
      <c r="Q33" s="18"/>
      <c r="R33" s="80">
        <v>1000</v>
      </c>
      <c r="S33" s="80">
        <v>2739.9</v>
      </c>
      <c r="T33" s="80">
        <v>1440</v>
      </c>
      <c r="U33" s="80"/>
      <c r="V33" s="105"/>
      <c r="W33" s="80"/>
      <c r="X33" s="80"/>
      <c r="Y33" s="80"/>
      <c r="Z33" s="80"/>
      <c r="AA33" s="80"/>
      <c r="AB33" s="80"/>
      <c r="AC33" s="80"/>
      <c r="AD33" s="80"/>
      <c r="AE33" s="35">
        <f t="shared" si="2"/>
        <v>0</v>
      </c>
    </row>
    <row r="34" spans="1:34" ht="12.9" hidden="1" thickBot="1" x14ac:dyDescent="0.35">
      <c r="A34" t="s">
        <v>218</v>
      </c>
      <c r="B34" s="18"/>
      <c r="C34" s="18"/>
      <c r="D34" s="18">
        <v>168.54</v>
      </c>
      <c r="E34" s="18">
        <v>7355.06</v>
      </c>
      <c r="F34" s="18"/>
      <c r="G34" s="18">
        <v>1038.72</v>
      </c>
      <c r="H34" s="18"/>
      <c r="I34" s="18">
        <f>400+232.64</f>
        <v>632.64</v>
      </c>
      <c r="J34" s="18">
        <f>416+705.9</f>
        <v>1121.9000000000001</v>
      </c>
      <c r="K34" s="18">
        <v>992.15</v>
      </c>
      <c r="L34" s="18"/>
      <c r="M34" s="18"/>
      <c r="N34" s="18">
        <f>2000</f>
        <v>2000</v>
      </c>
      <c r="O34" s="18">
        <f>365</f>
        <v>365</v>
      </c>
      <c r="P34" s="18"/>
      <c r="Q34" s="18"/>
      <c r="R34" s="80">
        <v>9479.5</v>
      </c>
      <c r="S34" s="80">
        <v>600</v>
      </c>
      <c r="T34" s="80">
        <v>1235</v>
      </c>
      <c r="U34" s="80"/>
      <c r="V34" s="105">
        <v>975</v>
      </c>
      <c r="W34" s="80"/>
      <c r="X34" s="80"/>
      <c r="Y34" s="80"/>
      <c r="Z34" s="80"/>
      <c r="AA34" s="80"/>
      <c r="AB34" s="80"/>
      <c r="AC34" s="80"/>
      <c r="AD34" s="80"/>
      <c r="AE34" s="35">
        <f t="shared" si="2"/>
        <v>975</v>
      </c>
      <c r="AF34" s="82">
        <f>AE34/$AE$62</f>
        <v>8.9620667426711202E-3</v>
      </c>
      <c r="AG34" s="82"/>
      <c r="AH34" s="54" t="s">
        <v>195</v>
      </c>
    </row>
    <row r="35" spans="1:34" ht="12.9" hidden="1" thickBot="1" x14ac:dyDescent="0.35">
      <c r="B35" s="18"/>
      <c r="C35" s="18"/>
      <c r="D35" s="18"/>
      <c r="E35" s="18">
        <v>950</v>
      </c>
      <c r="F35" s="18"/>
      <c r="G35" s="18">
        <v>250</v>
      </c>
      <c r="H35" s="18">
        <v>75</v>
      </c>
      <c r="I35" s="18"/>
      <c r="J35" s="18"/>
      <c r="K35" s="18"/>
      <c r="L35" s="18"/>
      <c r="M35" s="18"/>
      <c r="N35" s="18"/>
      <c r="O35" s="18"/>
      <c r="P35" s="18"/>
      <c r="Q35" s="18"/>
      <c r="R35" s="80"/>
      <c r="S35" s="80"/>
      <c r="T35" s="80"/>
      <c r="U35" s="80"/>
      <c r="V35" s="105"/>
      <c r="W35" s="80"/>
      <c r="X35" s="80"/>
      <c r="Y35" s="80"/>
      <c r="Z35" s="80"/>
      <c r="AA35" s="80"/>
      <c r="AB35" s="80"/>
      <c r="AC35" s="80"/>
      <c r="AD35" s="80"/>
      <c r="AE35" s="35">
        <f t="shared" si="2"/>
        <v>0</v>
      </c>
    </row>
    <row r="36" spans="1:34" ht="12.9" hidden="1" thickBot="1" x14ac:dyDescent="0.35">
      <c r="A36" t="s">
        <v>219</v>
      </c>
      <c r="B36" s="18"/>
      <c r="C36" s="18"/>
      <c r="D36" s="18"/>
      <c r="E36" s="18"/>
      <c r="F36" s="18">
        <v>1000</v>
      </c>
      <c r="G36" s="18"/>
      <c r="H36" s="18"/>
      <c r="I36" s="18"/>
      <c r="J36" s="18"/>
      <c r="K36" s="18"/>
      <c r="L36" s="18">
        <v>1000</v>
      </c>
      <c r="M36" s="18"/>
      <c r="N36" s="18"/>
      <c r="O36" s="18"/>
      <c r="P36" s="18"/>
      <c r="Q36" s="18"/>
      <c r="R36" s="80"/>
      <c r="S36" s="80"/>
      <c r="T36" s="80"/>
      <c r="U36" s="80"/>
      <c r="V36" s="105"/>
      <c r="W36" s="80"/>
      <c r="X36" s="80"/>
      <c r="Y36" s="80"/>
      <c r="Z36" s="80"/>
      <c r="AA36" s="80"/>
      <c r="AB36" s="80"/>
      <c r="AC36" s="80"/>
      <c r="AD36" s="80"/>
      <c r="AE36" s="35">
        <f t="shared" si="2"/>
        <v>0</v>
      </c>
    </row>
    <row r="37" spans="1:34" ht="12.9" hidden="1" thickBot="1" x14ac:dyDescent="0.35">
      <c r="A37" t="s">
        <v>220</v>
      </c>
      <c r="B37" s="18"/>
      <c r="C37" s="18"/>
      <c r="D37" s="18"/>
      <c r="E37" s="18"/>
      <c r="F37" s="18"/>
      <c r="G37" s="18">
        <v>316.49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80"/>
      <c r="S37" s="80"/>
      <c r="T37" s="80"/>
      <c r="U37" s="80"/>
      <c r="V37" s="105"/>
      <c r="W37" s="80"/>
      <c r="X37" s="80"/>
      <c r="Y37" s="80"/>
      <c r="Z37" s="80"/>
      <c r="AA37" s="80"/>
      <c r="AB37" s="80"/>
      <c r="AC37" s="80"/>
      <c r="AD37" s="80"/>
      <c r="AE37" s="35">
        <f t="shared" si="2"/>
        <v>0</v>
      </c>
    </row>
    <row r="38" spans="1:34" ht="12.9" hidden="1" thickBot="1" x14ac:dyDescent="0.35">
      <c r="A38" t="s">
        <v>221</v>
      </c>
      <c r="B38" s="18"/>
      <c r="C38" s="18"/>
      <c r="D38" s="18"/>
      <c r="E38" s="18"/>
      <c r="F38" s="18"/>
      <c r="G38" s="18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80"/>
      <c r="S38" s="80"/>
      <c r="T38" s="80"/>
      <c r="U38" s="80"/>
      <c r="V38" s="105"/>
      <c r="W38" s="80">
        <v>500</v>
      </c>
      <c r="X38" s="80"/>
      <c r="Y38" s="80"/>
      <c r="Z38" s="80"/>
      <c r="AA38" s="80"/>
      <c r="AB38" s="80"/>
      <c r="AC38" s="80"/>
      <c r="AD38" s="80"/>
      <c r="AE38" s="35">
        <f t="shared" si="2"/>
        <v>500</v>
      </c>
    </row>
    <row r="39" spans="1:34" ht="12.9" hidden="1" thickBot="1" x14ac:dyDescent="0.35">
      <c r="A39" t="s">
        <v>222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80">
        <v>6387.63</v>
      </c>
      <c r="S39" s="80"/>
      <c r="T39" s="80"/>
      <c r="U39" s="80"/>
      <c r="V39" s="105"/>
      <c r="W39" s="80"/>
      <c r="X39" s="80"/>
      <c r="Y39" s="80"/>
      <c r="Z39" s="80"/>
      <c r="AA39" s="80"/>
      <c r="AB39" s="80"/>
      <c r="AC39" s="80"/>
      <c r="AD39" s="80"/>
      <c r="AE39" s="35">
        <f t="shared" si="2"/>
        <v>0</v>
      </c>
    </row>
    <row r="40" spans="1:34" ht="12.9" hidden="1" thickBot="1" x14ac:dyDescent="0.35">
      <c r="A40" t="s">
        <v>223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0">
        <v>2745</v>
      </c>
      <c r="S40" s="80"/>
      <c r="T40" s="80"/>
      <c r="U40" s="80"/>
      <c r="V40" s="105">
        <f>375+190</f>
        <v>565</v>
      </c>
      <c r="W40" s="80"/>
      <c r="X40" s="80"/>
      <c r="Y40" s="80"/>
      <c r="Z40" s="80"/>
      <c r="AA40" s="80"/>
      <c r="AB40" s="80"/>
      <c r="AC40" s="80"/>
      <c r="AD40" s="80"/>
      <c r="AE40" s="35">
        <f t="shared" si="2"/>
        <v>565</v>
      </c>
      <c r="AF40" s="82">
        <f>AE40/$AE$62</f>
        <v>5.1934027790863421E-3</v>
      </c>
      <c r="AG40" s="82"/>
      <c r="AH40" s="54" t="s">
        <v>195</v>
      </c>
    </row>
    <row r="41" spans="1:34" ht="12.9" hidden="1" thickBot="1" x14ac:dyDescent="0.35">
      <c r="A41" t="s">
        <v>224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80">
        <v>8697.2800000000007</v>
      </c>
      <c r="S41" s="80">
        <f>1568.16+963.77+435.6</f>
        <v>2967.53</v>
      </c>
      <c r="T41" s="80"/>
      <c r="U41" s="80">
        <v>348.48</v>
      </c>
      <c r="V41" s="105">
        <v>262.8</v>
      </c>
      <c r="W41" s="80"/>
      <c r="X41" s="80"/>
      <c r="Y41" s="80"/>
      <c r="Z41" s="80"/>
      <c r="AA41" s="80"/>
      <c r="AB41" s="80"/>
      <c r="AC41" s="80"/>
      <c r="AD41" s="80"/>
      <c r="AE41" s="35">
        <f t="shared" si="2"/>
        <v>611.28</v>
      </c>
      <c r="AF41" s="82">
        <f>AE41/$AE$62</f>
        <v>5.6188022138051307E-3</v>
      </c>
      <c r="AG41" s="82"/>
      <c r="AH41" s="54" t="s">
        <v>195</v>
      </c>
    </row>
    <row r="42" spans="1:34" ht="12.9" hidden="1" thickBot="1" x14ac:dyDescent="0.35">
      <c r="A42" t="s">
        <v>225</v>
      </c>
      <c r="B42" s="18"/>
      <c r="C42" s="18"/>
      <c r="D42" s="18"/>
      <c r="E42" s="18"/>
      <c r="F42" s="18"/>
      <c r="G42" s="18">
        <v>128.9</v>
      </c>
      <c r="H42" s="18">
        <v>63.75</v>
      </c>
      <c r="I42" s="18"/>
      <c r="J42" s="18"/>
      <c r="K42" s="18"/>
      <c r="L42" s="18"/>
      <c r="M42" s="18"/>
      <c r="N42" s="18"/>
      <c r="O42" s="18"/>
      <c r="P42" s="18"/>
      <c r="Q42" s="18"/>
      <c r="R42" s="80"/>
      <c r="S42" s="80"/>
      <c r="T42" s="80"/>
      <c r="U42" s="80"/>
      <c r="V42" s="105"/>
      <c r="W42" s="80"/>
      <c r="X42" s="80"/>
      <c r="Y42" s="80"/>
      <c r="Z42" s="80"/>
      <c r="AA42" s="80"/>
      <c r="AB42" s="80"/>
      <c r="AC42" s="80"/>
      <c r="AD42" s="80"/>
      <c r="AE42" s="35">
        <f t="shared" si="2"/>
        <v>0</v>
      </c>
    </row>
    <row r="43" spans="1:34" ht="12.9" hidden="1" thickBot="1" x14ac:dyDescent="0.35">
      <c r="A43" t="s">
        <v>226</v>
      </c>
      <c r="B43" s="18"/>
      <c r="C43" s="18"/>
      <c r="D43" s="18"/>
      <c r="E43" s="18"/>
      <c r="F43" s="18"/>
      <c r="G43" s="18"/>
      <c r="H43" s="18">
        <v>1700</v>
      </c>
      <c r="I43" s="18"/>
      <c r="J43" s="18"/>
      <c r="K43" s="18"/>
      <c r="L43" s="18"/>
      <c r="M43" s="18"/>
      <c r="N43" s="18"/>
      <c r="O43" s="18"/>
      <c r="P43" s="18"/>
      <c r="Q43" s="18"/>
      <c r="R43" s="80"/>
      <c r="S43" s="80">
        <v>157.94</v>
      </c>
      <c r="T43" s="80"/>
      <c r="U43" s="80"/>
      <c r="V43" s="105"/>
      <c r="W43" s="80"/>
      <c r="X43" s="80"/>
      <c r="Y43" s="80"/>
      <c r="Z43" s="80"/>
      <c r="AA43" s="80"/>
      <c r="AB43" s="80"/>
      <c r="AC43" s="80"/>
      <c r="AD43" s="80"/>
      <c r="AE43" s="35">
        <f t="shared" si="2"/>
        <v>0</v>
      </c>
    </row>
    <row r="44" spans="1:34" ht="12.9" hidden="1" thickBot="1" x14ac:dyDescent="0.35">
      <c r="A44" t="s">
        <v>227</v>
      </c>
      <c r="B44" s="18"/>
      <c r="C44" s="18"/>
      <c r="D44" s="18"/>
      <c r="E44" s="18"/>
      <c r="F44" s="18"/>
      <c r="G44" s="18"/>
      <c r="H44" s="18">
        <v>800</v>
      </c>
      <c r="I44" s="18">
        <f>8937.32+210.82+140.08+508.54</f>
        <v>9796.76</v>
      </c>
      <c r="J44" s="18">
        <f>184.62+92.3+400+130+1500+174.58+334.34+43.45</f>
        <v>2859.29</v>
      </c>
      <c r="K44" s="18"/>
      <c r="L44" s="18"/>
      <c r="M44" s="18"/>
      <c r="N44" s="18"/>
      <c r="O44" s="18"/>
      <c r="P44" s="18"/>
      <c r="Q44" s="18"/>
      <c r="R44" s="80"/>
      <c r="S44" s="80"/>
      <c r="T44" s="80"/>
      <c r="U44" s="80"/>
      <c r="V44" s="105"/>
      <c r="W44" s="80"/>
      <c r="X44" s="80"/>
      <c r="Y44" s="80"/>
      <c r="Z44" s="80"/>
      <c r="AA44" s="80"/>
      <c r="AB44" s="80"/>
      <c r="AC44" s="80"/>
      <c r="AD44" s="80"/>
      <c r="AE44" s="35">
        <f t="shared" si="2"/>
        <v>0</v>
      </c>
    </row>
    <row r="45" spans="1:34" ht="12.9" hidden="1" thickBot="1" x14ac:dyDescent="0.35">
      <c r="A45" t="s">
        <v>228</v>
      </c>
      <c r="B45" s="18"/>
      <c r="C45" s="18"/>
      <c r="D45" s="18"/>
      <c r="E45" s="18"/>
      <c r="F45" s="18"/>
      <c r="G45" s="18"/>
      <c r="H45" s="18"/>
      <c r="I45" s="18">
        <v>390</v>
      </c>
      <c r="J45" s="18">
        <v>420</v>
      </c>
      <c r="K45" s="18"/>
      <c r="L45" s="18"/>
      <c r="M45" s="18"/>
      <c r="N45" s="18"/>
      <c r="O45" s="18"/>
      <c r="P45" s="18"/>
      <c r="Q45" s="18"/>
      <c r="R45" s="80"/>
      <c r="S45" s="80"/>
      <c r="T45" s="80"/>
      <c r="U45" s="80"/>
      <c r="V45" s="105"/>
      <c r="W45" s="80"/>
      <c r="X45" s="80"/>
      <c r="Y45" s="80"/>
      <c r="Z45" s="80"/>
      <c r="AA45" s="80"/>
      <c r="AB45" s="80"/>
      <c r="AC45" s="80"/>
      <c r="AD45" s="80"/>
      <c r="AE45" s="35">
        <f t="shared" si="2"/>
        <v>0</v>
      </c>
    </row>
    <row r="46" spans="1:34" ht="12.9" hidden="1" thickBot="1" x14ac:dyDescent="0.35">
      <c r="A46" t="s">
        <v>229</v>
      </c>
      <c r="B46" s="18"/>
      <c r="C46" s="18"/>
      <c r="D46" s="18"/>
      <c r="E46" s="18"/>
      <c r="F46" s="18"/>
      <c r="G46" s="18"/>
      <c r="H46" s="18"/>
      <c r="I46" s="18"/>
      <c r="J46" s="18">
        <v>1494.34</v>
      </c>
      <c r="K46" s="18"/>
      <c r="L46" s="18"/>
      <c r="M46" s="18">
        <f>1500+516.34+732</f>
        <v>2748.34</v>
      </c>
      <c r="N46" s="18"/>
      <c r="O46" s="18"/>
      <c r="P46" s="18"/>
      <c r="Q46" s="18"/>
      <c r="R46" s="80"/>
      <c r="S46" s="80"/>
      <c r="T46" s="80"/>
      <c r="U46" s="80"/>
      <c r="V46" s="105"/>
      <c r="W46" s="80"/>
      <c r="X46" s="80"/>
      <c r="Y46" s="80"/>
      <c r="Z46" s="80"/>
      <c r="AA46" s="80"/>
      <c r="AB46" s="80"/>
      <c r="AC46" s="80"/>
      <c r="AD46" s="80"/>
      <c r="AE46" s="35">
        <f t="shared" si="2"/>
        <v>0</v>
      </c>
    </row>
    <row r="47" spans="1:34" ht="12.9" hidden="1" thickBot="1" x14ac:dyDescent="0.35">
      <c r="A47" t="s">
        <v>230</v>
      </c>
      <c r="B47" s="18"/>
      <c r="C47" s="18"/>
      <c r="D47" s="18"/>
      <c r="E47" s="18"/>
      <c r="F47" s="18"/>
      <c r="G47" s="18"/>
      <c r="H47" s="18"/>
      <c r="I47" s="18"/>
      <c r="J47" s="18">
        <v>1433.52</v>
      </c>
      <c r="K47" s="18"/>
      <c r="L47" s="18"/>
      <c r="M47" s="18"/>
      <c r="N47" s="18"/>
      <c r="O47" s="18"/>
      <c r="P47" s="18"/>
      <c r="Q47" s="18"/>
      <c r="R47" s="80"/>
      <c r="S47" s="80"/>
      <c r="T47" s="80"/>
      <c r="U47" s="80"/>
      <c r="V47" s="105"/>
      <c r="W47" s="80"/>
      <c r="X47" s="80"/>
      <c r="Y47" s="80"/>
      <c r="Z47" s="80"/>
      <c r="AA47" s="80"/>
      <c r="AB47" s="80"/>
      <c r="AC47" s="80"/>
      <c r="AD47" s="80"/>
      <c r="AE47" s="35">
        <f t="shared" si="2"/>
        <v>0</v>
      </c>
    </row>
    <row r="48" spans="1:34" ht="12.9" hidden="1" thickBot="1" x14ac:dyDescent="0.35">
      <c r="A48" t="s">
        <v>231</v>
      </c>
      <c r="B48" s="18"/>
      <c r="C48" s="18"/>
      <c r="D48" s="18"/>
      <c r="E48" s="18"/>
      <c r="F48" s="18"/>
      <c r="G48" s="18"/>
      <c r="H48" s="18"/>
      <c r="I48" s="18"/>
      <c r="J48" s="18"/>
      <c r="K48" s="18">
        <v>375</v>
      </c>
      <c r="L48" s="18"/>
      <c r="M48" s="18"/>
      <c r="N48" s="18"/>
      <c r="O48" s="18"/>
      <c r="P48" s="18"/>
      <c r="Q48" s="18"/>
      <c r="R48" s="80"/>
      <c r="S48" s="80">
        <v>500</v>
      </c>
      <c r="T48" s="80"/>
      <c r="U48" s="80">
        <v>1130</v>
      </c>
      <c r="V48" s="105">
        <f>630+405+440+92.5</f>
        <v>1567.5</v>
      </c>
      <c r="W48" s="80">
        <v>2089.65</v>
      </c>
      <c r="X48" s="80"/>
      <c r="Y48" s="80"/>
      <c r="Z48" s="80"/>
      <c r="AA48" s="80"/>
      <c r="AB48" s="80"/>
      <c r="AC48" s="80"/>
      <c r="AD48" s="80"/>
      <c r="AE48" s="35">
        <f t="shared" si="2"/>
        <v>4787.1499999999996</v>
      </c>
      <c r="AF48" s="82">
        <f>AE48/$AE$62</f>
        <v>4.400282852018262E-2</v>
      </c>
      <c r="AG48" s="82"/>
      <c r="AH48" s="54" t="s">
        <v>195</v>
      </c>
    </row>
    <row r="49" spans="1:34" ht="12.9" hidden="1" thickBot="1" x14ac:dyDescent="0.35">
      <c r="A49" t="s">
        <v>232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0"/>
      <c r="S49" s="80"/>
      <c r="T49" s="80"/>
      <c r="U49" s="80"/>
      <c r="V49" s="105">
        <v>80</v>
      </c>
      <c r="W49" s="80"/>
      <c r="X49" s="80"/>
      <c r="Y49" s="80"/>
      <c r="Z49" s="80"/>
      <c r="AA49" s="80"/>
      <c r="AB49" s="80"/>
      <c r="AC49" s="80"/>
      <c r="AD49" s="80"/>
      <c r="AE49" s="35">
        <f t="shared" si="2"/>
        <v>80</v>
      </c>
    </row>
    <row r="50" spans="1:34" ht="12.9" hidden="1" thickBot="1" x14ac:dyDescent="0.35">
      <c r="A50" s="81" t="s">
        <v>233</v>
      </c>
      <c r="B50" s="18"/>
      <c r="C50" s="18"/>
      <c r="D50" s="18"/>
      <c r="E50" s="18"/>
      <c r="F50" s="18"/>
      <c r="G50" s="18"/>
      <c r="H50" s="18"/>
      <c r="I50" s="18"/>
      <c r="J50" s="83" t="s">
        <v>234</v>
      </c>
      <c r="K50" s="18"/>
      <c r="L50" s="18"/>
      <c r="M50" s="18"/>
      <c r="N50" s="18"/>
      <c r="O50" s="18">
        <f>395.3+139.16+124.33+451.97</f>
        <v>1110.7600000000002</v>
      </c>
      <c r="P50" s="18"/>
      <c r="Q50" s="18"/>
      <c r="R50" s="80"/>
      <c r="S50" s="80"/>
      <c r="T50" s="80"/>
      <c r="U50" s="80"/>
      <c r="V50" s="105"/>
      <c r="W50" s="80"/>
      <c r="X50" s="80"/>
      <c r="Y50" s="80"/>
      <c r="Z50" s="80"/>
      <c r="AA50" s="80"/>
      <c r="AB50" s="80"/>
      <c r="AC50" s="80"/>
      <c r="AD50" s="80"/>
      <c r="AE50" s="35">
        <f t="shared" si="2"/>
        <v>0</v>
      </c>
    </row>
    <row r="51" spans="1:34" ht="12.9" hidden="1" thickBot="1" x14ac:dyDescent="0.35">
      <c r="A51" s="84" t="s">
        <v>235</v>
      </c>
      <c r="B51" s="18"/>
      <c r="C51" s="18"/>
      <c r="D51" s="18"/>
      <c r="E51" s="18"/>
      <c r="F51" s="18"/>
      <c r="G51" s="18"/>
      <c r="H51" s="18"/>
      <c r="I51" s="18"/>
      <c r="J51" s="83"/>
      <c r="K51" s="18"/>
      <c r="L51" s="18"/>
      <c r="M51" s="18"/>
      <c r="N51" s="18"/>
      <c r="O51" s="18"/>
      <c r="P51" s="18"/>
      <c r="Q51" s="18"/>
      <c r="R51" s="80"/>
      <c r="S51" s="80"/>
      <c r="T51" s="80"/>
      <c r="U51" s="80">
        <v>12000</v>
      </c>
      <c r="V51" s="105">
        <v>15675</v>
      </c>
      <c r="W51" s="80">
        <v>15675</v>
      </c>
      <c r="X51" s="80"/>
      <c r="Y51" s="80"/>
      <c r="Z51" s="80"/>
      <c r="AA51" s="80"/>
      <c r="AB51" s="80"/>
      <c r="AC51" s="80"/>
      <c r="AD51" s="80"/>
      <c r="AE51" s="35">
        <f t="shared" si="2"/>
        <v>43350</v>
      </c>
      <c r="AF51" s="82">
        <f>AE51/$AE$62</f>
        <v>0.39846727517414676</v>
      </c>
      <c r="AG51" s="82"/>
      <c r="AH51" s="54" t="s">
        <v>195</v>
      </c>
    </row>
    <row r="52" spans="1:34" ht="12.9" hidden="1" thickBot="1" x14ac:dyDescent="0.35">
      <c r="A52" s="81" t="s">
        <v>236</v>
      </c>
      <c r="B52" s="18"/>
      <c r="C52" s="18"/>
      <c r="D52" s="18"/>
      <c r="E52" s="18"/>
      <c r="F52" s="18"/>
      <c r="G52" s="18"/>
      <c r="H52" s="18"/>
      <c r="I52" s="18"/>
      <c r="J52" s="83"/>
      <c r="K52" s="18"/>
      <c r="L52" s="18">
        <f>210+366.53</f>
        <v>576.53</v>
      </c>
      <c r="M52" s="18"/>
      <c r="N52" s="18"/>
      <c r="O52" s="18">
        <f>200+175.36</f>
        <v>375.36</v>
      </c>
      <c r="P52" s="18"/>
      <c r="Q52" s="18"/>
      <c r="R52" s="80"/>
      <c r="S52" s="80"/>
      <c r="T52" s="80"/>
      <c r="U52" s="80"/>
      <c r="V52" s="105"/>
      <c r="W52" s="80"/>
      <c r="X52" s="80"/>
      <c r="Y52" s="80"/>
      <c r="Z52" s="80"/>
      <c r="AA52" s="80"/>
      <c r="AB52" s="80"/>
      <c r="AC52" s="80"/>
      <c r="AD52" s="80"/>
      <c r="AE52" s="35">
        <f t="shared" si="2"/>
        <v>0</v>
      </c>
    </row>
    <row r="53" spans="1:34" ht="12.9" hidden="1" thickBot="1" x14ac:dyDescent="0.35">
      <c r="A53" s="84" t="s">
        <v>237</v>
      </c>
      <c r="B53" s="18"/>
      <c r="C53" s="18"/>
      <c r="D53" s="18"/>
      <c r="E53" s="18"/>
      <c r="F53" s="18"/>
      <c r="G53" s="18"/>
      <c r="H53" s="18"/>
      <c r="I53" s="18"/>
      <c r="J53" s="83"/>
      <c r="K53" s="18"/>
      <c r="L53" s="18"/>
      <c r="M53" s="18"/>
      <c r="N53" s="18"/>
      <c r="O53" s="18"/>
      <c r="P53" s="18"/>
      <c r="Q53" s="18"/>
      <c r="R53" s="80">
        <v>165</v>
      </c>
      <c r="S53" s="80">
        <v>55</v>
      </c>
      <c r="T53" s="80">
        <v>430</v>
      </c>
      <c r="U53" s="80">
        <f>50.25+100.5+50.25</f>
        <v>201</v>
      </c>
      <c r="V53" s="105">
        <f>46.25+46.25</f>
        <v>92.5</v>
      </c>
      <c r="W53" s="80"/>
      <c r="X53" s="80"/>
      <c r="Y53" s="80"/>
      <c r="Z53" s="80"/>
      <c r="AA53" s="80"/>
      <c r="AB53" s="80"/>
      <c r="AC53" s="80"/>
      <c r="AD53" s="80"/>
      <c r="AE53" s="35">
        <f t="shared" si="2"/>
        <v>293.5</v>
      </c>
      <c r="AF53" s="82">
        <f>AE53/$AE$62</f>
        <v>2.6978118861271526E-3</v>
      </c>
      <c r="AG53" s="82"/>
      <c r="AH53" s="54" t="s">
        <v>195</v>
      </c>
    </row>
    <row r="54" spans="1:34" ht="12.9" hidden="1" thickBot="1" x14ac:dyDescent="0.35">
      <c r="A54" s="81" t="s">
        <v>238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v>1350</v>
      </c>
      <c r="M54" s="18"/>
      <c r="N54" s="18"/>
      <c r="O54" s="18"/>
      <c r="P54" s="18"/>
      <c r="Q54" s="18"/>
      <c r="R54" s="80"/>
      <c r="S54" s="80"/>
      <c r="T54" s="80"/>
      <c r="U54" s="80"/>
      <c r="V54" s="105"/>
      <c r="W54" s="80"/>
      <c r="X54" s="80"/>
      <c r="Y54" s="80"/>
      <c r="Z54" s="80"/>
      <c r="AA54" s="80"/>
      <c r="AB54" s="80"/>
      <c r="AC54" s="80"/>
      <c r="AD54" s="80"/>
      <c r="AE54" s="35">
        <f t="shared" si="2"/>
        <v>0</v>
      </c>
    </row>
    <row r="55" spans="1:34" ht="12.9" hidden="1" thickBot="1" x14ac:dyDescent="0.35">
      <c r="A55" s="84" t="s">
        <v>239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80"/>
      <c r="S55" s="80">
        <v>300</v>
      </c>
      <c r="T55" s="80"/>
      <c r="U55" s="80"/>
      <c r="V55" s="105"/>
      <c r="W55" s="80"/>
      <c r="X55" s="80"/>
      <c r="Y55" s="80"/>
      <c r="Z55" s="80"/>
      <c r="AA55" s="80"/>
      <c r="AB55" s="80"/>
      <c r="AC55" s="80"/>
      <c r="AD55" s="80"/>
      <c r="AE55" s="35">
        <f t="shared" si="2"/>
        <v>0</v>
      </c>
    </row>
    <row r="56" spans="1:34" ht="12.9" hidden="1" thickBot="1" x14ac:dyDescent="0.35">
      <c r="A56" s="81" t="s">
        <v>240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1500</v>
      </c>
      <c r="R56" s="80"/>
      <c r="S56" s="80"/>
      <c r="T56" s="80"/>
      <c r="U56" s="80"/>
      <c r="V56" s="105"/>
      <c r="W56" s="80"/>
      <c r="X56" s="80"/>
      <c r="Y56" s="80"/>
      <c r="Z56" s="80"/>
      <c r="AA56" s="80"/>
      <c r="AB56" s="80"/>
      <c r="AC56" s="80"/>
      <c r="AD56" s="80"/>
      <c r="AE56" s="35">
        <f t="shared" si="2"/>
        <v>0</v>
      </c>
    </row>
    <row r="57" spans="1:34" ht="12.9" hidden="1" thickBot="1" x14ac:dyDescent="0.35">
      <c r="A57" s="84" t="s">
        <v>241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0"/>
      <c r="S57" s="80"/>
      <c r="T57" s="80">
        <v>3125.43</v>
      </c>
      <c r="U57" s="80"/>
      <c r="V57" s="105"/>
      <c r="W57" s="80"/>
      <c r="X57" s="80"/>
      <c r="Y57" s="80"/>
      <c r="Z57" s="80"/>
      <c r="AA57" s="80"/>
      <c r="AB57" s="80"/>
      <c r="AC57" s="80"/>
      <c r="AD57" s="80"/>
      <c r="AE57" s="35">
        <f t="shared" si="2"/>
        <v>0</v>
      </c>
    </row>
    <row r="58" spans="1:34" ht="12.9" hidden="1" thickBot="1" x14ac:dyDescent="0.35">
      <c r="A58" s="84" t="s">
        <v>242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434.51</v>
      </c>
      <c r="Q58" s="18"/>
      <c r="R58" s="80">
        <v>13000</v>
      </c>
      <c r="S58" s="80"/>
      <c r="T58" s="80"/>
      <c r="U58" s="80"/>
      <c r="V58" s="105"/>
      <c r="W58" s="80"/>
      <c r="X58" s="80"/>
      <c r="Y58" s="80"/>
      <c r="Z58" s="80"/>
      <c r="AA58" s="80"/>
      <c r="AB58" s="80"/>
      <c r="AC58" s="80"/>
      <c r="AD58" s="80"/>
      <c r="AE58" s="35">
        <f t="shared" si="2"/>
        <v>0</v>
      </c>
    </row>
    <row r="59" spans="1:34" ht="12.9" hidden="1" thickBot="1" x14ac:dyDescent="0.35">
      <c r="A59" s="84" t="s">
        <v>243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80"/>
      <c r="S59" s="80"/>
      <c r="T59" s="80">
        <v>1470.15</v>
      </c>
      <c r="U59" s="80"/>
      <c r="V59" s="105"/>
      <c r="W59" s="80"/>
      <c r="X59" s="80"/>
      <c r="Y59" s="80"/>
      <c r="Z59" s="80"/>
      <c r="AA59" s="80"/>
      <c r="AB59" s="80"/>
      <c r="AC59" s="80"/>
      <c r="AD59" s="80"/>
      <c r="AE59" s="35">
        <f t="shared" si="2"/>
        <v>0</v>
      </c>
    </row>
    <row r="60" spans="1:34" ht="12.9" hidden="1" thickBot="1" x14ac:dyDescent="0.35">
      <c r="A60" s="84" t="s">
        <v>244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80"/>
      <c r="S60" s="80"/>
      <c r="T60" s="80">
        <v>1226.95</v>
      </c>
      <c r="U60" s="80"/>
      <c r="V60" s="105"/>
      <c r="W60" s="80"/>
      <c r="X60" s="80"/>
      <c r="Y60" s="80"/>
      <c r="Z60" s="80"/>
      <c r="AA60" s="80"/>
      <c r="AB60" s="80"/>
      <c r="AC60" s="80"/>
      <c r="AD60" s="80"/>
      <c r="AE60" s="35">
        <f t="shared" si="2"/>
        <v>0</v>
      </c>
    </row>
    <row r="61" spans="1:34" ht="12.9" hidden="1" thickBot="1" x14ac:dyDescent="0.35">
      <c r="A61" s="84" t="s">
        <v>245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0"/>
      <c r="S61" s="80"/>
      <c r="T61" s="80"/>
      <c r="U61" s="80">
        <v>1086.6199999999999</v>
      </c>
      <c r="V61" s="105"/>
      <c r="W61" s="80"/>
      <c r="X61" s="80"/>
      <c r="Y61" s="80"/>
      <c r="Z61" s="80"/>
      <c r="AA61" s="80"/>
      <c r="AB61" s="80"/>
      <c r="AC61" s="80"/>
      <c r="AD61" s="80"/>
      <c r="AE61" s="35">
        <f t="shared" si="2"/>
        <v>1086.6199999999999</v>
      </c>
      <c r="AF61" s="82">
        <f>AE61/$AE$62</f>
        <v>9.9880625270987611E-3</v>
      </c>
      <c r="AG61" s="82"/>
      <c r="AH61" s="54" t="s">
        <v>195</v>
      </c>
    </row>
    <row r="62" spans="1:34" ht="12.9" hidden="1" thickBot="1" x14ac:dyDescent="0.35">
      <c r="A62" s="4" t="s">
        <v>10</v>
      </c>
      <c r="B62" s="35">
        <f>SUM(B5:B58)</f>
        <v>8141.53</v>
      </c>
      <c r="C62" s="35">
        <f t="shared" ref="C62:Q62" si="3">SUM(C5:C58)</f>
        <v>3596.14</v>
      </c>
      <c r="D62" s="35">
        <f t="shared" si="3"/>
        <v>4229.1400000000003</v>
      </c>
      <c r="E62" s="35">
        <f t="shared" si="3"/>
        <v>12676.05</v>
      </c>
      <c r="F62" s="35">
        <f t="shared" si="3"/>
        <v>11648.31</v>
      </c>
      <c r="G62" s="35">
        <f t="shared" si="3"/>
        <v>13145.159999999998</v>
      </c>
      <c r="H62" s="35">
        <f t="shared" si="3"/>
        <v>12881.16</v>
      </c>
      <c r="I62" s="35">
        <f t="shared" si="3"/>
        <v>16988.420000000002</v>
      </c>
      <c r="J62" s="35">
        <f t="shared" si="3"/>
        <v>15953.25</v>
      </c>
      <c r="K62" s="35">
        <f t="shared" si="3"/>
        <v>19073.470000000005</v>
      </c>
      <c r="L62" s="35">
        <f t="shared" si="3"/>
        <v>15343.1</v>
      </c>
      <c r="M62" s="35">
        <f t="shared" si="3"/>
        <v>29155.070000000003</v>
      </c>
      <c r="N62" s="35">
        <f t="shared" si="3"/>
        <v>20296.75</v>
      </c>
      <c r="O62" s="35">
        <f t="shared" si="3"/>
        <v>16053.35</v>
      </c>
      <c r="P62" s="35">
        <f t="shared" si="3"/>
        <v>9216.4600000000009</v>
      </c>
      <c r="Q62" s="35">
        <f t="shared" si="3"/>
        <v>14198.05</v>
      </c>
      <c r="R62" s="85">
        <f>SUM(R5:R60)</f>
        <v>56857.380000000005</v>
      </c>
      <c r="S62" s="85">
        <f>SUM(S5:S60)</f>
        <v>26370.04</v>
      </c>
      <c r="T62" s="85">
        <f>SUM(T5:T60)</f>
        <v>21925.83</v>
      </c>
      <c r="U62" s="85">
        <f>SUM(U5:U61)</f>
        <v>41271.15</v>
      </c>
      <c r="V62" s="106">
        <f>SUM(V5:V61)</f>
        <v>34245.78</v>
      </c>
      <c r="W62" s="85">
        <f>SUM(W5:W61)</f>
        <v>33274.94</v>
      </c>
      <c r="X62" s="85"/>
      <c r="Y62" s="85"/>
      <c r="Z62" s="85"/>
      <c r="AA62" s="85"/>
      <c r="AB62" s="85"/>
      <c r="AC62" s="85"/>
      <c r="AD62" s="85"/>
      <c r="AE62" s="35">
        <f t="shared" si="2"/>
        <v>108791.87</v>
      </c>
      <c r="AF62" s="86">
        <f>SUM(AF5:AF61)</f>
        <v>0.91236909522742837</v>
      </c>
      <c r="AG62" s="86"/>
    </row>
    <row r="63" spans="1:34" ht="12.9" hidden="1" thickBot="1" x14ac:dyDescent="0.35">
      <c r="A63" s="84" t="s">
        <v>246</v>
      </c>
      <c r="G63" s="59"/>
      <c r="H63" s="59"/>
      <c r="I63" s="59"/>
      <c r="J63" s="59"/>
      <c r="K63" s="59"/>
      <c r="L63" s="18"/>
      <c r="AE63" s="35">
        <f>SUM(AE5:AE61)</f>
        <v>100095.14000000001</v>
      </c>
      <c r="AF63" s="82"/>
      <c r="AG63" s="82"/>
    </row>
    <row r="64" spans="1:34" s="23" customFormat="1" ht="13.3" thickTop="1" thickBot="1" x14ac:dyDescent="0.35">
      <c r="A64" s="91" t="s">
        <v>10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9"/>
      <c r="M64" s="87"/>
      <c r="N64" s="88"/>
      <c r="O64" s="87"/>
      <c r="P64" s="87"/>
      <c r="Q64" s="87"/>
      <c r="R64" s="87"/>
      <c r="S64" s="108">
        <f t="shared" ref="S64:AE64" si="4">SUM(S5:S29)</f>
        <v>19049.670000000002</v>
      </c>
      <c r="T64" s="87"/>
      <c r="U64" s="108">
        <f t="shared" si="4"/>
        <v>26505.050000000003</v>
      </c>
      <c r="V64" s="108">
        <f t="shared" si="4"/>
        <v>15027.980000000001</v>
      </c>
      <c r="W64" s="90">
        <f t="shared" si="4"/>
        <v>14753.49</v>
      </c>
      <c r="X64" s="90">
        <f t="shared" si="4"/>
        <v>16735.489999999998</v>
      </c>
      <c r="Y64" s="90">
        <f t="shared" si="4"/>
        <v>12979.8</v>
      </c>
      <c r="Z64" s="90">
        <f t="shared" si="4"/>
        <v>24395.65</v>
      </c>
      <c r="AA64" s="90">
        <f>SUM(AA5:AA29)</f>
        <v>17903.800000000003</v>
      </c>
      <c r="AB64" s="90">
        <f>SUM(AB5:AB29)</f>
        <v>16432.629999999997</v>
      </c>
      <c r="AC64" s="90">
        <f>SUM(AC5:AC29)</f>
        <v>13253.36</v>
      </c>
      <c r="AD64" s="90">
        <f>SUM(AD5:AD29)</f>
        <v>10275.34</v>
      </c>
      <c r="AE64" s="90">
        <f t="shared" si="4"/>
        <v>47589.790000000008</v>
      </c>
    </row>
    <row r="65" spans="1:30" s="97" customFormat="1" ht="30" customHeight="1" thickTop="1" x14ac:dyDescent="0.3">
      <c r="A65" s="94" t="s">
        <v>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V65" s="109"/>
    </row>
    <row r="66" spans="1:30" s="97" customFormat="1" ht="23.25" customHeight="1" x14ac:dyDescent="0.3">
      <c r="A66" s="98" t="s">
        <v>3</v>
      </c>
      <c r="B66" s="60" t="s">
        <v>65</v>
      </c>
      <c r="C66" s="60" t="s">
        <v>66</v>
      </c>
      <c r="D66" s="60"/>
      <c r="E66" s="60"/>
      <c r="F66" s="60"/>
      <c r="G66" s="60"/>
      <c r="H66" s="63"/>
      <c r="I66" s="60" t="s">
        <v>67</v>
      </c>
      <c r="J66" s="60" t="s">
        <v>68</v>
      </c>
      <c r="K66" s="61"/>
      <c r="L66" s="63"/>
      <c r="M66" s="60" t="s">
        <v>69</v>
      </c>
      <c r="N66" s="99"/>
      <c r="O66" s="63"/>
      <c r="P66" s="61" t="s">
        <v>70</v>
      </c>
      <c r="Q66" s="60" t="s">
        <v>71</v>
      </c>
      <c r="R66" s="60"/>
      <c r="S66" s="60"/>
      <c r="T66" s="60"/>
      <c r="U66" s="60" t="s">
        <v>259</v>
      </c>
      <c r="V66" s="110" t="s">
        <v>275</v>
      </c>
      <c r="W66" s="60" t="s">
        <v>72</v>
      </c>
      <c r="X66" s="60" t="s">
        <v>256</v>
      </c>
      <c r="Y66" s="60" t="s">
        <v>324</v>
      </c>
      <c r="Z66" s="60" t="s">
        <v>535</v>
      </c>
      <c r="AA66" s="60" t="s">
        <v>706</v>
      </c>
      <c r="AB66" s="60" t="s">
        <v>785</v>
      </c>
      <c r="AC66" s="60" t="s">
        <v>919</v>
      </c>
      <c r="AD66" s="60" t="s">
        <v>1095</v>
      </c>
    </row>
    <row r="67" spans="1:30" s="97" customFormat="1" ht="36" customHeight="1" x14ac:dyDescent="0.3">
      <c r="A67" s="98" t="s">
        <v>73</v>
      </c>
      <c r="B67" s="60" t="s">
        <v>74</v>
      </c>
      <c r="C67" s="60"/>
      <c r="D67" s="60"/>
      <c r="E67" s="60"/>
      <c r="F67" s="60"/>
      <c r="G67" s="60" t="s">
        <v>75</v>
      </c>
      <c r="H67" s="60" t="s">
        <v>76</v>
      </c>
      <c r="I67" s="60"/>
      <c r="J67" s="60"/>
      <c r="K67" s="61"/>
      <c r="L67" s="63"/>
      <c r="M67" s="61" t="s">
        <v>77</v>
      </c>
      <c r="N67" s="60" t="s">
        <v>78</v>
      </c>
      <c r="O67" s="63"/>
      <c r="P67" s="61"/>
      <c r="Q67" s="60"/>
      <c r="R67" s="60"/>
      <c r="S67" s="60" t="s">
        <v>79</v>
      </c>
      <c r="T67" s="60"/>
      <c r="U67" s="60" t="s">
        <v>260</v>
      </c>
      <c r="V67" s="110"/>
      <c r="X67" s="60" t="s">
        <v>255</v>
      </c>
      <c r="Y67" s="60" t="s">
        <v>314</v>
      </c>
      <c r="Z67" s="60" t="s">
        <v>491</v>
      </c>
      <c r="AA67" s="60" t="s">
        <v>618</v>
      </c>
      <c r="AB67" s="60" t="s">
        <v>763</v>
      </c>
      <c r="AC67" s="60" t="s">
        <v>898</v>
      </c>
      <c r="AD67" s="60"/>
    </row>
    <row r="68" spans="1:30" s="97" customFormat="1" ht="30" customHeight="1" x14ac:dyDescent="0.3">
      <c r="A68" s="98" t="s">
        <v>80</v>
      </c>
      <c r="B68" s="60"/>
      <c r="C68" s="60"/>
      <c r="D68" s="60"/>
      <c r="E68" s="60"/>
      <c r="F68" s="60"/>
      <c r="G68" s="60" t="s">
        <v>81</v>
      </c>
      <c r="H68" s="63"/>
      <c r="I68" s="60" t="s">
        <v>82</v>
      </c>
      <c r="J68" s="60" t="s">
        <v>83</v>
      </c>
      <c r="K68" s="61" t="s">
        <v>84</v>
      </c>
      <c r="L68" s="63"/>
      <c r="M68" s="60" t="s">
        <v>85</v>
      </c>
      <c r="N68" s="99"/>
      <c r="O68" s="63"/>
      <c r="P68" s="61"/>
      <c r="Q68" s="60" t="s">
        <v>86</v>
      </c>
      <c r="R68" s="60"/>
      <c r="S68" s="60" t="s">
        <v>87</v>
      </c>
      <c r="T68" s="60"/>
      <c r="U68" s="60" t="s">
        <v>261</v>
      </c>
      <c r="V68" s="110" t="s">
        <v>276</v>
      </c>
      <c r="W68" s="60"/>
      <c r="X68" s="60"/>
      <c r="Y68" s="60" t="s">
        <v>312</v>
      </c>
      <c r="Z68" s="60"/>
      <c r="AA68" s="60"/>
      <c r="AB68" s="60"/>
      <c r="AC68" s="60"/>
      <c r="AD68" s="60" t="s">
        <v>990</v>
      </c>
    </row>
    <row r="69" spans="1:30" s="97" customFormat="1" ht="12" customHeight="1" x14ac:dyDescent="0.3">
      <c r="A69" s="98" t="s">
        <v>88</v>
      </c>
      <c r="B69" s="60"/>
      <c r="C69" s="60"/>
      <c r="D69" s="60" t="s">
        <v>89</v>
      </c>
      <c r="E69" s="60"/>
      <c r="F69" s="60"/>
      <c r="G69" s="60"/>
      <c r="H69" s="60"/>
      <c r="I69" s="60"/>
      <c r="J69" s="60"/>
      <c r="K69" s="61"/>
      <c r="L69" s="60" t="s">
        <v>90</v>
      </c>
      <c r="M69" s="60" t="s">
        <v>91</v>
      </c>
      <c r="N69" s="99"/>
      <c r="O69" s="63"/>
      <c r="P69" s="61"/>
      <c r="Q69" s="63"/>
      <c r="R69" s="63"/>
      <c r="S69" s="63" t="s">
        <v>92</v>
      </c>
      <c r="T69" s="63" t="s">
        <v>93</v>
      </c>
      <c r="U69" s="63"/>
      <c r="V69" s="111" t="s">
        <v>277</v>
      </c>
      <c r="W69" s="63" t="s">
        <v>94</v>
      </c>
      <c r="X69" s="63"/>
      <c r="Y69" s="63"/>
      <c r="Z69" s="63"/>
      <c r="AA69" s="63" t="s">
        <v>642</v>
      </c>
      <c r="AB69" s="63"/>
      <c r="AC69" s="63"/>
      <c r="AD69" s="63"/>
    </row>
    <row r="70" spans="1:30" s="97" customFormat="1" ht="144.44999999999999" x14ac:dyDescent="0.3">
      <c r="A70" s="101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0"/>
      <c r="L70" s="63"/>
      <c r="M70" s="62"/>
      <c r="N70" s="99"/>
      <c r="O70" s="63"/>
      <c r="P70" s="61"/>
      <c r="Q70" s="63"/>
      <c r="R70" s="63"/>
      <c r="S70" s="63"/>
      <c r="T70" s="63"/>
      <c r="U70" s="63"/>
      <c r="V70" s="111" t="s">
        <v>278</v>
      </c>
      <c r="W70" s="63" t="s">
        <v>101</v>
      </c>
      <c r="X70" s="63"/>
      <c r="Y70" s="63" t="s">
        <v>307</v>
      </c>
      <c r="Z70" s="63" t="s">
        <v>460</v>
      </c>
      <c r="AA70" s="63" t="s">
        <v>627</v>
      </c>
      <c r="AB70" s="63"/>
      <c r="AC70" s="63" t="s">
        <v>930</v>
      </c>
      <c r="AD70" s="63"/>
    </row>
    <row r="71" spans="1:30" s="97" customFormat="1" ht="33" customHeight="1" x14ac:dyDescent="0.3">
      <c r="A71" s="100" t="s">
        <v>95</v>
      </c>
      <c r="B71" s="63"/>
      <c r="C71" s="63"/>
      <c r="D71" s="63"/>
      <c r="E71" s="63"/>
      <c r="F71" s="63"/>
      <c r="G71" s="63"/>
      <c r="H71" s="63"/>
      <c r="I71" s="63"/>
      <c r="J71" s="63"/>
      <c r="K71" s="60" t="s">
        <v>96</v>
      </c>
      <c r="L71" s="63"/>
      <c r="M71" s="62">
        <v>600</v>
      </c>
      <c r="N71" s="99"/>
      <c r="O71" s="63"/>
      <c r="P71" s="61"/>
      <c r="Q71" s="63" t="s">
        <v>97</v>
      </c>
      <c r="R71" s="63"/>
      <c r="S71" s="63" t="s">
        <v>98</v>
      </c>
      <c r="T71" s="63"/>
      <c r="U71" s="63" t="s">
        <v>262</v>
      </c>
      <c r="V71" s="111" t="s">
        <v>289</v>
      </c>
      <c r="W71" s="63" t="s">
        <v>99</v>
      </c>
      <c r="X71" s="63" t="s">
        <v>301</v>
      </c>
      <c r="Y71" s="63"/>
      <c r="Z71" s="63"/>
      <c r="AA71" s="63" t="s">
        <v>722</v>
      </c>
      <c r="AB71" s="63"/>
      <c r="AC71" s="63" t="s">
        <v>897</v>
      </c>
      <c r="AD71" s="63"/>
    </row>
    <row r="72" spans="1:30" s="97" customFormat="1" ht="12" customHeight="1" x14ac:dyDescent="0.3">
      <c r="A72" s="101" t="s">
        <v>102</v>
      </c>
      <c r="B72" s="63"/>
      <c r="C72" s="63"/>
      <c r="D72" s="63"/>
      <c r="E72" s="63"/>
      <c r="F72" s="63"/>
      <c r="G72" s="63"/>
      <c r="H72" s="63"/>
      <c r="I72" s="63"/>
      <c r="J72" s="63"/>
      <c r="K72" s="60"/>
      <c r="L72" s="63"/>
      <c r="M72" s="62"/>
      <c r="N72" s="99"/>
      <c r="O72" s="63"/>
      <c r="P72" s="61"/>
      <c r="Q72" s="63"/>
      <c r="R72" s="63"/>
      <c r="S72" s="63"/>
      <c r="T72" s="63"/>
      <c r="U72" s="63"/>
      <c r="V72" s="111"/>
      <c r="W72" s="63" t="s">
        <v>103</v>
      </c>
      <c r="X72" s="63"/>
      <c r="Y72" s="63"/>
      <c r="Z72" s="63" t="s">
        <v>564</v>
      </c>
      <c r="AA72" s="63"/>
      <c r="AB72" s="63"/>
      <c r="AC72" s="63"/>
      <c r="AD72" s="63"/>
    </row>
    <row r="73" spans="1:30" s="97" customFormat="1" ht="63.75" customHeight="1" x14ac:dyDescent="0.3">
      <c r="A73" s="98" t="s">
        <v>5</v>
      </c>
      <c r="B73" s="60"/>
      <c r="C73" s="60"/>
      <c r="D73" s="60"/>
      <c r="E73" s="60"/>
      <c r="F73" s="60" t="s">
        <v>104</v>
      </c>
      <c r="G73" s="60"/>
      <c r="H73" s="60"/>
      <c r="I73" s="60"/>
      <c r="J73" s="60" t="s">
        <v>105</v>
      </c>
      <c r="K73" s="60" t="s">
        <v>106</v>
      </c>
      <c r="L73" s="60" t="s">
        <v>107</v>
      </c>
      <c r="M73" s="60" t="s">
        <v>108</v>
      </c>
      <c r="N73" s="60" t="s">
        <v>109</v>
      </c>
      <c r="O73" s="63"/>
      <c r="P73" s="61"/>
      <c r="Q73" s="60" t="s">
        <v>110</v>
      </c>
      <c r="R73" s="60"/>
      <c r="S73" s="60" t="s">
        <v>111</v>
      </c>
      <c r="T73" s="60" t="s">
        <v>112</v>
      </c>
      <c r="U73" s="60"/>
      <c r="V73" s="110"/>
      <c r="W73" s="60"/>
      <c r="X73" s="60" t="s">
        <v>290</v>
      </c>
      <c r="Y73" s="60" t="s">
        <v>313</v>
      </c>
      <c r="Z73" s="60" t="s">
        <v>461</v>
      </c>
      <c r="AA73" s="60"/>
      <c r="AB73" s="60" t="s">
        <v>445</v>
      </c>
      <c r="AC73" s="60"/>
      <c r="AD73" s="60"/>
    </row>
    <row r="74" spans="1:30" s="97" customFormat="1" ht="18" customHeight="1" x14ac:dyDescent="0.3">
      <c r="A74" s="98" t="s">
        <v>263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3"/>
      <c r="P74" s="61"/>
      <c r="Q74" s="60"/>
      <c r="R74" s="60"/>
      <c r="S74" s="60"/>
      <c r="T74" s="60"/>
      <c r="U74" s="60" t="s">
        <v>264</v>
      </c>
      <c r="V74" s="110" t="s">
        <v>279</v>
      </c>
      <c r="W74" s="60"/>
      <c r="X74" s="60"/>
      <c r="Y74" s="60" t="s">
        <v>310</v>
      </c>
      <c r="Z74" s="60"/>
      <c r="AA74" s="60" t="s">
        <v>599</v>
      </c>
      <c r="AB74" s="60" t="s">
        <v>747</v>
      </c>
      <c r="AC74" s="60" t="s">
        <v>886</v>
      </c>
      <c r="AD74" s="60"/>
    </row>
    <row r="75" spans="1:30" s="97" customFormat="1" ht="14.25" customHeight="1" x14ac:dyDescent="0.3">
      <c r="A75" s="98" t="s">
        <v>6</v>
      </c>
      <c r="B75" s="60"/>
      <c r="C75" s="60"/>
      <c r="D75" s="60"/>
      <c r="E75" s="60" t="s">
        <v>113</v>
      </c>
      <c r="F75" s="60"/>
      <c r="G75" s="60" t="s">
        <v>114</v>
      </c>
      <c r="H75" s="60"/>
      <c r="I75" s="60"/>
      <c r="J75" s="60" t="s">
        <v>115</v>
      </c>
      <c r="K75" s="61"/>
      <c r="L75" s="63"/>
      <c r="M75" s="63"/>
      <c r="N75" s="60" t="s">
        <v>116</v>
      </c>
      <c r="O75" s="63"/>
      <c r="P75" s="61"/>
      <c r="Q75" s="61"/>
      <c r="R75" s="61"/>
      <c r="S75" s="61"/>
      <c r="T75" s="61" t="s">
        <v>117</v>
      </c>
      <c r="U75" s="61" t="s">
        <v>266</v>
      </c>
      <c r="V75" s="112"/>
      <c r="W75" s="61"/>
      <c r="X75" s="61" t="s">
        <v>257</v>
      </c>
      <c r="Y75" s="61"/>
      <c r="Z75" s="61"/>
      <c r="AA75" s="61"/>
      <c r="AB75" s="61"/>
      <c r="AC75" s="61"/>
      <c r="AD75" s="61"/>
    </row>
    <row r="76" spans="1:30" s="97" customFormat="1" ht="12" customHeight="1" x14ac:dyDescent="0.3">
      <c r="A76" s="98" t="s">
        <v>118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63"/>
      <c r="M76" s="63"/>
      <c r="N76" s="60"/>
      <c r="O76" s="63"/>
      <c r="P76" s="61"/>
      <c r="Q76" s="61"/>
      <c r="R76" s="61"/>
      <c r="S76" s="61"/>
      <c r="T76" s="61"/>
      <c r="U76" s="61" t="s">
        <v>274</v>
      </c>
      <c r="V76" s="112" t="s">
        <v>280</v>
      </c>
      <c r="W76" s="61" t="s">
        <v>119</v>
      </c>
      <c r="X76" s="61" t="s">
        <v>252</v>
      </c>
      <c r="Y76" s="61" t="s">
        <v>319</v>
      </c>
      <c r="Z76" s="61"/>
      <c r="AA76" s="61" t="s">
        <v>42</v>
      </c>
      <c r="AB76" s="61" t="s">
        <v>858</v>
      </c>
      <c r="AC76" s="61"/>
      <c r="AD76" s="61" t="s">
        <v>1046</v>
      </c>
    </row>
    <row r="77" spans="1:30" s="97" customFormat="1" ht="12.75" customHeight="1" x14ac:dyDescent="0.3">
      <c r="A77" s="98" t="s">
        <v>120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3"/>
      <c r="M77" s="63"/>
      <c r="N77" s="60"/>
      <c r="O77" s="63"/>
      <c r="P77" s="61"/>
      <c r="Q77" s="61"/>
      <c r="R77" s="61"/>
      <c r="S77" s="61"/>
      <c r="T77" s="61"/>
      <c r="U77" s="61" t="s">
        <v>265</v>
      </c>
      <c r="V77" s="112" t="s">
        <v>281</v>
      </c>
      <c r="W77" s="61" t="s">
        <v>121</v>
      </c>
      <c r="X77" s="61" t="s">
        <v>291</v>
      </c>
      <c r="Y77" s="61" t="s">
        <v>321</v>
      </c>
      <c r="Z77" s="162" t="s">
        <v>495</v>
      </c>
      <c r="AA77" s="162" t="s">
        <v>700</v>
      </c>
      <c r="AB77" s="162" t="s">
        <v>762</v>
      </c>
      <c r="AC77" s="162"/>
      <c r="AD77" s="162"/>
    </row>
    <row r="78" spans="1:30" s="97" customFormat="1" ht="27" customHeight="1" x14ac:dyDescent="0.3">
      <c r="A78" s="113" t="s">
        <v>286</v>
      </c>
      <c r="B78" s="60"/>
      <c r="C78" s="60" t="s">
        <v>66</v>
      </c>
      <c r="D78" s="60" t="s">
        <v>66</v>
      </c>
      <c r="E78" s="60"/>
      <c r="F78" s="60"/>
      <c r="G78" s="60" t="s">
        <v>122</v>
      </c>
      <c r="H78" s="60"/>
      <c r="I78" s="60" t="s">
        <v>123</v>
      </c>
      <c r="J78" s="60"/>
      <c r="K78" s="60" t="s">
        <v>124</v>
      </c>
      <c r="L78" s="60" t="s">
        <v>125</v>
      </c>
      <c r="M78" s="60" t="s">
        <v>126</v>
      </c>
      <c r="N78" s="99"/>
      <c r="O78" s="60" t="s">
        <v>127</v>
      </c>
      <c r="P78" s="61"/>
      <c r="Q78" s="61"/>
      <c r="R78" s="61">
        <v>1295.53</v>
      </c>
      <c r="S78" s="61" t="s">
        <v>128</v>
      </c>
      <c r="T78" s="61" t="s">
        <v>129</v>
      </c>
      <c r="U78" s="61"/>
      <c r="V78" s="112" t="s">
        <v>282</v>
      </c>
      <c r="W78" s="61" t="s">
        <v>130</v>
      </c>
      <c r="X78" s="61" t="s">
        <v>300</v>
      </c>
      <c r="Y78" s="61"/>
      <c r="Z78" s="61"/>
      <c r="AA78" s="61" t="s">
        <v>654</v>
      </c>
      <c r="AB78" s="61" t="s">
        <v>820</v>
      </c>
      <c r="AC78" s="61"/>
      <c r="AD78" s="61"/>
    </row>
    <row r="79" spans="1:30" s="97" customFormat="1" ht="12" customHeight="1" x14ac:dyDescent="0.3">
      <c r="A79" s="113" t="s">
        <v>287</v>
      </c>
      <c r="B79" s="60"/>
      <c r="C79" s="60"/>
      <c r="D79" s="60"/>
      <c r="E79" s="60"/>
      <c r="F79" s="60" t="s">
        <v>158</v>
      </c>
      <c r="G79" s="60"/>
      <c r="H79" s="60"/>
      <c r="I79" s="60"/>
      <c r="J79" s="60" t="s">
        <v>159</v>
      </c>
      <c r="K79" s="61"/>
      <c r="L79" s="63"/>
      <c r="M79" s="63"/>
      <c r="N79" s="99"/>
      <c r="O79" s="63"/>
      <c r="P79" s="61"/>
      <c r="Q79" s="61"/>
      <c r="R79" s="61" t="s">
        <v>160</v>
      </c>
      <c r="S79" s="61"/>
      <c r="T79" s="61"/>
      <c r="U79" s="61" t="s">
        <v>270</v>
      </c>
      <c r="V79" s="112" t="s">
        <v>161</v>
      </c>
      <c r="W79" s="61"/>
      <c r="X79" s="61" t="s">
        <v>305</v>
      </c>
      <c r="Y79" s="61"/>
      <c r="Z79" s="61" t="s">
        <v>396</v>
      </c>
      <c r="AA79" s="61" t="s">
        <v>598</v>
      </c>
      <c r="AB79" s="61"/>
      <c r="AC79" s="61"/>
      <c r="AD79" s="61"/>
    </row>
    <row r="80" spans="1:30" s="97" customFormat="1" ht="12" customHeight="1" x14ac:dyDescent="0.3">
      <c r="A80" s="98" t="s">
        <v>7</v>
      </c>
      <c r="B80" s="60"/>
      <c r="C80" s="60" t="s">
        <v>131</v>
      </c>
      <c r="D80" s="60"/>
      <c r="E80" s="60" t="s">
        <v>132</v>
      </c>
      <c r="F80" s="60" t="s">
        <v>133</v>
      </c>
      <c r="G80" s="60"/>
      <c r="H80" s="60"/>
      <c r="I80" s="60"/>
      <c r="J80" s="60"/>
      <c r="K80" s="61" t="s">
        <v>134</v>
      </c>
      <c r="L80" s="63"/>
      <c r="M80" s="60" t="s">
        <v>135</v>
      </c>
      <c r="N80" s="99"/>
      <c r="O80" s="63"/>
      <c r="P80" s="61" t="s">
        <v>136</v>
      </c>
      <c r="Q80" s="61"/>
      <c r="R80" s="61"/>
      <c r="S80" s="61" t="s">
        <v>137</v>
      </c>
      <c r="T80" s="61"/>
      <c r="U80" s="61"/>
      <c r="V80" s="112" t="s">
        <v>288</v>
      </c>
      <c r="W80" s="61"/>
      <c r="X80" s="61"/>
      <c r="Y80" s="61"/>
      <c r="Z80" s="61"/>
      <c r="AA80" s="61" t="s">
        <v>686</v>
      </c>
      <c r="AB80" s="61"/>
      <c r="AC80" s="61" t="s">
        <v>906</v>
      </c>
      <c r="AD80" s="61"/>
    </row>
    <row r="81" spans="1:30" s="97" customFormat="1" ht="12" customHeight="1" x14ac:dyDescent="0.3">
      <c r="A81" s="98" t="s">
        <v>138</v>
      </c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63"/>
      <c r="M81" s="60"/>
      <c r="N81" s="99"/>
      <c r="O81" s="63"/>
      <c r="P81" s="61"/>
      <c r="Q81" s="61"/>
      <c r="R81" s="61"/>
      <c r="S81" s="61"/>
      <c r="T81" s="61"/>
      <c r="U81" s="61"/>
      <c r="V81" s="112"/>
      <c r="W81" s="61"/>
      <c r="X81" s="61" t="s">
        <v>248</v>
      </c>
      <c r="Y81" s="61" t="s">
        <v>317</v>
      </c>
      <c r="Z81" s="61"/>
      <c r="AA81" s="61"/>
      <c r="AB81" s="61" t="s">
        <v>827</v>
      </c>
      <c r="AC81" s="61"/>
      <c r="AD81" s="61"/>
    </row>
    <row r="82" spans="1:30" s="97" customFormat="1" ht="12" customHeight="1" x14ac:dyDescent="0.3">
      <c r="A82" s="98" t="s">
        <v>139</v>
      </c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61" t="s">
        <v>140</v>
      </c>
      <c r="M82" s="61" t="s">
        <v>141</v>
      </c>
      <c r="N82" s="99"/>
      <c r="O82" s="60" t="s">
        <v>142</v>
      </c>
      <c r="P82" s="61" t="s">
        <v>143</v>
      </c>
      <c r="Q82" s="61"/>
      <c r="R82" s="61"/>
      <c r="S82" s="61" t="s">
        <v>144</v>
      </c>
      <c r="T82" s="61"/>
      <c r="U82" s="61" t="s">
        <v>267</v>
      </c>
      <c r="V82" s="112"/>
      <c r="W82" s="61" t="s">
        <v>145</v>
      </c>
      <c r="X82" s="61" t="s">
        <v>248</v>
      </c>
      <c r="Y82" s="61" t="s">
        <v>317</v>
      </c>
      <c r="Z82" s="61"/>
      <c r="AA82" s="61"/>
      <c r="AB82" s="61" t="s">
        <v>827</v>
      </c>
      <c r="AC82" s="61"/>
      <c r="AD82" s="61"/>
    </row>
    <row r="83" spans="1:30" s="97" customFormat="1" ht="12" customHeight="1" x14ac:dyDescent="0.3">
      <c r="A83" s="97" t="s">
        <v>146</v>
      </c>
      <c r="B83" s="60"/>
      <c r="C83" s="60"/>
      <c r="D83" s="60"/>
      <c r="E83" s="60"/>
      <c r="F83" s="60"/>
      <c r="G83" s="63"/>
      <c r="H83" s="63"/>
      <c r="I83" s="63"/>
      <c r="J83" s="63"/>
      <c r="K83" s="60" t="s">
        <v>147</v>
      </c>
      <c r="L83" s="63"/>
      <c r="M83" s="63"/>
      <c r="N83" s="99"/>
      <c r="O83" s="63"/>
      <c r="P83" s="61"/>
      <c r="Q83" s="61"/>
      <c r="R83" s="61"/>
      <c r="S83" s="61"/>
      <c r="T83" s="61"/>
      <c r="U83" s="61"/>
      <c r="V83" s="112"/>
      <c r="W83" s="61"/>
      <c r="X83" s="61"/>
      <c r="Y83" s="61"/>
      <c r="Z83" s="61" t="s">
        <v>398</v>
      </c>
      <c r="AA83" s="61" t="s">
        <v>726</v>
      </c>
      <c r="AB83" s="61"/>
      <c r="AC83" s="61"/>
      <c r="AD83" s="61"/>
    </row>
    <row r="84" spans="1:30" s="97" customFormat="1" ht="12" customHeight="1" x14ac:dyDescent="0.3">
      <c r="A84" s="97" t="s">
        <v>148</v>
      </c>
      <c r="B84" s="60"/>
      <c r="C84" s="60"/>
      <c r="D84" s="60"/>
      <c r="E84" s="60"/>
      <c r="F84" s="60"/>
      <c r="G84" s="63"/>
      <c r="H84" s="63"/>
      <c r="I84" s="63"/>
      <c r="J84" s="63"/>
      <c r="K84" s="63"/>
      <c r="L84" s="63"/>
      <c r="M84" s="63"/>
      <c r="N84" s="99"/>
      <c r="O84" s="63"/>
      <c r="P84" s="61"/>
      <c r="Q84" s="61"/>
      <c r="R84" s="61"/>
      <c r="S84" s="61"/>
      <c r="T84" s="61"/>
      <c r="U84" s="61" t="s">
        <v>268</v>
      </c>
      <c r="V84" s="112"/>
      <c r="W84" s="61" t="s">
        <v>149</v>
      </c>
      <c r="X84" s="61" t="s">
        <v>258</v>
      </c>
      <c r="Y84" s="61"/>
      <c r="Z84" s="61" t="s">
        <v>514</v>
      </c>
      <c r="AA84" s="61"/>
      <c r="AB84" s="61"/>
      <c r="AC84" s="61"/>
      <c r="AD84" s="61" t="s">
        <v>1069</v>
      </c>
    </row>
    <row r="85" spans="1:30" s="97" customFormat="1" ht="12" customHeight="1" x14ac:dyDescent="0.3">
      <c r="A85" s="98" t="s">
        <v>150</v>
      </c>
      <c r="B85" s="60"/>
      <c r="C85" s="60"/>
      <c r="D85" s="60"/>
      <c r="E85" s="60"/>
      <c r="F85" s="60"/>
      <c r="G85" s="63"/>
      <c r="H85" s="63"/>
      <c r="I85" s="63"/>
      <c r="J85" s="63"/>
      <c r="K85" s="63"/>
      <c r="L85" s="63"/>
      <c r="M85" s="63"/>
      <c r="N85" s="99"/>
      <c r="O85" s="63"/>
      <c r="P85" s="61"/>
      <c r="Q85" s="61"/>
      <c r="R85" s="61"/>
      <c r="S85" s="61"/>
      <c r="T85" s="61" t="s">
        <v>129</v>
      </c>
      <c r="U85" s="61"/>
      <c r="V85" s="112" t="s">
        <v>283</v>
      </c>
      <c r="W85" s="61"/>
      <c r="X85" s="61"/>
      <c r="Y85" s="61"/>
      <c r="Z85" s="61"/>
      <c r="AA85" s="61"/>
      <c r="AB85" s="61"/>
      <c r="AC85" s="61" t="s">
        <v>925</v>
      </c>
      <c r="AD85" s="61"/>
    </row>
    <row r="86" spans="1:30" s="97" customFormat="1" ht="12" customHeight="1" x14ac:dyDescent="0.3">
      <c r="A86" s="98" t="s">
        <v>298</v>
      </c>
      <c r="B86" s="60"/>
      <c r="C86" s="60"/>
      <c r="D86" s="60"/>
      <c r="E86" s="60"/>
      <c r="F86" s="60"/>
      <c r="G86" s="63"/>
      <c r="H86" s="63"/>
      <c r="I86" s="63"/>
      <c r="J86" s="63"/>
      <c r="K86" s="63"/>
      <c r="L86" s="63"/>
      <c r="M86" s="63"/>
      <c r="N86" s="99"/>
      <c r="O86" s="63"/>
      <c r="P86" s="61"/>
      <c r="Q86" s="61"/>
      <c r="R86" s="61"/>
      <c r="S86" s="61"/>
      <c r="T86" s="61"/>
      <c r="U86" s="61"/>
      <c r="V86" s="112"/>
      <c r="W86" s="61"/>
      <c r="X86" s="61" t="s">
        <v>299</v>
      </c>
      <c r="Y86" s="61" t="s">
        <v>322</v>
      </c>
      <c r="Z86" s="61" t="s">
        <v>554</v>
      </c>
      <c r="AA86" s="61"/>
      <c r="AB86" s="61"/>
      <c r="AC86" s="61"/>
      <c r="AD86" s="61"/>
    </row>
    <row r="87" spans="1:30" s="97" customFormat="1" ht="23.25" customHeight="1" x14ac:dyDescent="0.3">
      <c r="A87" s="98" t="s">
        <v>8</v>
      </c>
      <c r="B87" s="60"/>
      <c r="C87" s="60"/>
      <c r="D87" s="60"/>
      <c r="E87" s="60"/>
      <c r="F87" s="60"/>
      <c r="G87" s="60"/>
      <c r="H87" s="60"/>
      <c r="I87" s="60"/>
      <c r="J87" s="60" t="s">
        <v>151</v>
      </c>
      <c r="K87" s="61"/>
      <c r="L87" s="63"/>
      <c r="M87" s="63"/>
      <c r="N87" s="60" t="s">
        <v>152</v>
      </c>
      <c r="O87" s="60" t="s">
        <v>153</v>
      </c>
      <c r="P87" s="61" t="s">
        <v>154</v>
      </c>
      <c r="Q87" s="61"/>
      <c r="R87" s="61" t="s">
        <v>155</v>
      </c>
      <c r="S87" s="61" t="s">
        <v>156</v>
      </c>
      <c r="T87" s="61" t="s">
        <v>157</v>
      </c>
      <c r="U87" s="61" t="s">
        <v>269</v>
      </c>
      <c r="V87" s="112"/>
      <c r="W87" s="61"/>
      <c r="X87" s="61"/>
      <c r="Y87" s="61" t="s">
        <v>311</v>
      </c>
      <c r="Z87" s="63"/>
      <c r="AA87" s="63" t="s">
        <v>723</v>
      </c>
      <c r="AB87" s="63"/>
      <c r="AC87" s="63"/>
      <c r="AD87" s="63"/>
    </row>
    <row r="88" spans="1:30" s="97" customFormat="1" ht="24.75" customHeight="1" x14ac:dyDescent="0.3">
      <c r="A88" s="98" t="s">
        <v>9</v>
      </c>
      <c r="B88" s="60"/>
      <c r="C88" s="60"/>
      <c r="D88" s="60"/>
      <c r="E88" s="60" t="s">
        <v>162</v>
      </c>
      <c r="F88" s="60"/>
      <c r="G88" s="60"/>
      <c r="H88" s="60"/>
      <c r="I88" s="60"/>
      <c r="J88" s="60"/>
      <c r="K88" s="61"/>
      <c r="L88" s="63"/>
      <c r="M88" s="61" t="s">
        <v>163</v>
      </c>
      <c r="N88" s="99"/>
      <c r="O88" s="63"/>
      <c r="P88" s="61" t="s">
        <v>164</v>
      </c>
      <c r="Q88" s="61"/>
      <c r="R88" s="61"/>
      <c r="S88" s="61"/>
      <c r="T88" s="61" t="s">
        <v>165</v>
      </c>
      <c r="U88" s="61" t="s">
        <v>271</v>
      </c>
      <c r="V88" s="112" t="s">
        <v>284</v>
      </c>
      <c r="W88" s="61" t="s">
        <v>166</v>
      </c>
      <c r="X88" s="61"/>
      <c r="Y88" s="61" t="s">
        <v>318</v>
      </c>
      <c r="Z88" s="61"/>
      <c r="AA88" s="61" t="s">
        <v>619</v>
      </c>
      <c r="AB88" s="61"/>
      <c r="AC88" s="61"/>
      <c r="AD88" s="61" t="s">
        <v>1099</v>
      </c>
    </row>
    <row r="89" spans="1:30" s="97" customFormat="1" ht="12" customHeight="1" x14ac:dyDescent="0.3">
      <c r="A89" s="98" t="s">
        <v>167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99"/>
      <c r="O89" s="63"/>
      <c r="P89" s="63"/>
      <c r="Q89" s="63"/>
      <c r="R89" s="63"/>
      <c r="S89" s="61" t="s">
        <v>168</v>
      </c>
      <c r="T89" s="61"/>
      <c r="U89" s="61" t="s">
        <v>272</v>
      </c>
      <c r="V89" s="112" t="s">
        <v>285</v>
      </c>
      <c r="W89" s="61"/>
      <c r="X89" s="61" t="s">
        <v>254</v>
      </c>
      <c r="Y89" s="61"/>
      <c r="Z89" s="61" t="s">
        <v>334</v>
      </c>
      <c r="AA89" s="61"/>
      <c r="AB89" s="61" t="s">
        <v>757</v>
      </c>
      <c r="AC89" s="61" t="s">
        <v>915</v>
      </c>
      <c r="AD89" s="61"/>
    </row>
    <row r="90" spans="1:30" s="97" customFormat="1" ht="12" customHeight="1" x14ac:dyDescent="0.3">
      <c r="A90" s="98" t="s">
        <v>169</v>
      </c>
      <c r="N90" s="96"/>
      <c r="U90" s="61" t="s">
        <v>273</v>
      </c>
      <c r="V90" s="112"/>
      <c r="W90" s="61"/>
      <c r="X90" s="61" t="s">
        <v>297</v>
      </c>
      <c r="Y90" s="61"/>
      <c r="Z90" s="61"/>
      <c r="AA90" s="61"/>
      <c r="AB90" s="61"/>
      <c r="AC90" s="61"/>
      <c r="AD90" s="61"/>
    </row>
    <row r="91" spans="1:30" s="97" customFormat="1" x14ac:dyDescent="0.3">
      <c r="K91" s="61"/>
      <c r="N91" s="96"/>
      <c r="V91" s="109"/>
    </row>
    <row r="92" spans="1:30" x14ac:dyDescent="0.3">
      <c r="K92" s="61"/>
    </row>
    <row r="93" spans="1:30" x14ac:dyDescent="0.3">
      <c r="K93" s="61"/>
    </row>
    <row r="94" spans="1:30" x14ac:dyDescent="0.3">
      <c r="K94" s="61"/>
    </row>
  </sheetData>
  <mergeCells count="2">
    <mergeCell ref="A1:AE1"/>
    <mergeCell ref="A2:AE2"/>
  </mergeCells>
  <phoneticPr fontId="5" type="noConversion"/>
  <pageMargins left="0.7" right="0.7" top="0.75" bottom="0.75" header="0.3" footer="0.3"/>
  <pageSetup scale="4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workbookViewId="0"/>
  </sheetViews>
  <sheetFormatPr defaultColWidth="8.69140625" defaultRowHeight="12.45" x14ac:dyDescent="0.3"/>
  <cols>
    <col min="1" max="1" width="21.84375" customWidth="1"/>
    <col min="2" max="2" width="14.3828125" customWidth="1"/>
    <col min="3" max="3" width="14.84375" customWidth="1"/>
    <col min="4" max="4" width="14.15234375" customWidth="1"/>
    <col min="5" max="5" width="14.84375" customWidth="1"/>
    <col min="6" max="6" width="14.69140625" customWidth="1"/>
    <col min="7" max="7" width="15.3046875" customWidth="1"/>
    <col min="8" max="8" width="12.15234375" customWidth="1"/>
    <col min="9" max="9" width="12" customWidth="1"/>
  </cols>
  <sheetData>
    <row r="1" spans="1:26" s="119" customFormat="1" ht="13.5" customHeight="1" x14ac:dyDescent="0.4">
      <c r="B1" s="255" t="s">
        <v>296</v>
      </c>
      <c r="C1" s="259"/>
      <c r="D1" s="259"/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2.25" customHeight="1" x14ac:dyDescent="0.3">
      <c r="B2" s="258" t="s">
        <v>844</v>
      </c>
      <c r="C2" s="258"/>
      <c r="D2" s="258"/>
    </row>
    <row r="3" spans="1:26" ht="12.9" thickBot="1" x14ac:dyDescent="0.35"/>
    <row r="4" spans="1:26" s="117" customFormat="1" ht="15.9" thickBot="1" x14ac:dyDescent="0.45">
      <c r="A4" s="6" t="s">
        <v>1</v>
      </c>
      <c r="B4" s="7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</row>
    <row r="5" spans="1:26" s="5" customFormat="1" ht="15" x14ac:dyDescent="0.35">
      <c r="A5" s="1" t="s">
        <v>3</v>
      </c>
      <c r="B5" s="207">
        <v>2739.5</v>
      </c>
      <c r="C5" s="207">
        <v>3027.6</v>
      </c>
      <c r="D5" s="207">
        <v>2625</v>
      </c>
      <c r="E5" s="207">
        <v>3077</v>
      </c>
      <c r="F5" s="200">
        <v>4317.84</v>
      </c>
      <c r="G5" s="208">
        <v>3972.1985535364024</v>
      </c>
      <c r="H5" s="205">
        <v>2902.7</v>
      </c>
      <c r="I5" s="205">
        <v>1553.34</v>
      </c>
    </row>
    <row r="6" spans="1:26" s="5" customFormat="1" ht="15" x14ac:dyDescent="0.35">
      <c r="A6" s="1" t="s">
        <v>828</v>
      </c>
      <c r="B6" s="207">
        <v>3841.75</v>
      </c>
      <c r="C6" s="207">
        <v>5315.5</v>
      </c>
      <c r="D6" s="207">
        <v>4738</v>
      </c>
      <c r="E6" s="207">
        <v>3987</v>
      </c>
      <c r="F6" s="200">
        <v>2536.73</v>
      </c>
      <c r="G6" s="208">
        <v>881.79501799930767</v>
      </c>
      <c r="H6" s="205">
        <v>444.95</v>
      </c>
      <c r="I6" s="205">
        <f>2421.1+1250</f>
        <v>3671.1</v>
      </c>
    </row>
    <row r="7" spans="1:26" s="5" customFormat="1" ht="15" x14ac:dyDescent="0.35">
      <c r="A7" s="1" t="s">
        <v>829</v>
      </c>
      <c r="B7" s="207">
        <v>186.5</v>
      </c>
      <c r="C7" s="207">
        <v>450.5</v>
      </c>
      <c r="D7" s="207">
        <v>264.5</v>
      </c>
      <c r="E7" s="207">
        <v>888</v>
      </c>
      <c r="F7" s="200">
        <v>1781.11</v>
      </c>
      <c r="G7" s="208">
        <v>1088.7517170878043</v>
      </c>
      <c r="H7" s="205">
        <v>274.85000000000002</v>
      </c>
      <c r="I7" s="205">
        <v>0</v>
      </c>
    </row>
    <row r="8" spans="1:26" s="5" customFormat="1" ht="15" x14ac:dyDescent="0.35">
      <c r="A8" s="1" t="s">
        <v>830</v>
      </c>
      <c r="B8" s="207">
        <v>1998.5</v>
      </c>
      <c r="C8" s="207">
        <v>1290</v>
      </c>
      <c r="D8" s="207">
        <v>2150.5</v>
      </c>
      <c r="E8" s="207">
        <v>1253</v>
      </c>
      <c r="F8" s="200">
        <v>863.57</v>
      </c>
      <c r="G8" s="208">
        <f>1225.50411572632+2500</f>
        <v>3725.5041157263199</v>
      </c>
      <c r="H8" s="205">
        <v>294.55</v>
      </c>
      <c r="I8" s="205">
        <v>3835.4</v>
      </c>
    </row>
    <row r="9" spans="1:26" s="5" customFormat="1" ht="15" x14ac:dyDescent="0.35">
      <c r="A9" s="1" t="s">
        <v>831</v>
      </c>
      <c r="B9" s="207">
        <v>112.5</v>
      </c>
      <c r="C9" s="207">
        <v>1994</v>
      </c>
      <c r="D9" s="207">
        <v>1942</v>
      </c>
      <c r="E9" s="207">
        <v>2014</v>
      </c>
      <c r="F9" s="200">
        <v>2374.81</v>
      </c>
      <c r="G9" s="208">
        <v>1246.8166762432215</v>
      </c>
      <c r="H9" s="205">
        <v>0</v>
      </c>
      <c r="I9" s="205">
        <v>0</v>
      </c>
    </row>
    <row r="10" spans="1:26" s="5" customFormat="1" ht="15" x14ac:dyDescent="0.35">
      <c r="A10" s="1" t="s">
        <v>832</v>
      </c>
      <c r="B10" s="207">
        <v>1390</v>
      </c>
      <c r="C10" s="207">
        <v>684.5</v>
      </c>
      <c r="D10" s="207">
        <v>605</v>
      </c>
      <c r="E10" s="207">
        <v>1201</v>
      </c>
      <c r="F10" s="200">
        <v>1457.27</v>
      </c>
      <c r="G10" s="208">
        <v>1054.8965143648322</v>
      </c>
      <c r="H10" s="205">
        <v>453.59</v>
      </c>
      <c r="I10" s="205">
        <v>0</v>
      </c>
    </row>
    <row r="11" spans="1:26" s="5" customFormat="1" ht="15" x14ac:dyDescent="0.35">
      <c r="A11" s="1" t="s">
        <v>833</v>
      </c>
      <c r="B11" s="207">
        <v>225</v>
      </c>
      <c r="C11" s="207">
        <v>53</v>
      </c>
      <c r="D11" s="207">
        <v>118</v>
      </c>
      <c r="E11" s="207">
        <v>634</v>
      </c>
      <c r="F11" s="200">
        <v>350.82</v>
      </c>
      <c r="G11" s="208">
        <v>442.71449878850819</v>
      </c>
      <c r="H11" s="205">
        <v>312.33999999999997</v>
      </c>
      <c r="I11" s="205">
        <v>0</v>
      </c>
    </row>
    <row r="12" spans="1:26" s="5" customFormat="1" ht="15" x14ac:dyDescent="0.35">
      <c r="A12" s="1" t="s">
        <v>834</v>
      </c>
      <c r="B12" s="207">
        <v>490.5</v>
      </c>
      <c r="C12" s="207">
        <v>284</v>
      </c>
      <c r="D12" s="207">
        <v>713</v>
      </c>
      <c r="E12" s="207">
        <v>2133</v>
      </c>
      <c r="F12" s="200">
        <v>1484.26</v>
      </c>
      <c r="G12" s="208">
        <v>721.670270797277</v>
      </c>
      <c r="H12" s="205">
        <v>240.25</v>
      </c>
      <c r="I12" s="205">
        <v>0</v>
      </c>
    </row>
    <row r="13" spans="1:26" s="5" customFormat="1" ht="15" x14ac:dyDescent="0.35">
      <c r="A13" s="10" t="s">
        <v>4</v>
      </c>
      <c r="B13" s="207">
        <v>3580.5</v>
      </c>
      <c r="C13" s="207">
        <v>210.5</v>
      </c>
      <c r="D13" s="207">
        <v>393</v>
      </c>
      <c r="E13" s="207">
        <v>760</v>
      </c>
      <c r="F13" s="200">
        <v>539.73</v>
      </c>
      <c r="G13" s="208">
        <v>194.03162859120803</v>
      </c>
      <c r="H13" s="205">
        <v>216.23</v>
      </c>
      <c r="I13" s="205">
        <v>0</v>
      </c>
    </row>
    <row r="14" spans="1:26" s="5" customFormat="1" ht="15" x14ac:dyDescent="0.35">
      <c r="A14" s="10" t="s">
        <v>13</v>
      </c>
      <c r="B14" s="207">
        <v>1014.5</v>
      </c>
      <c r="C14" s="207">
        <v>200</v>
      </c>
      <c r="D14" s="207">
        <v>150</v>
      </c>
      <c r="E14" s="207">
        <v>1452</v>
      </c>
      <c r="F14" s="200">
        <v>755.62</v>
      </c>
      <c r="G14" s="208">
        <v>522.46324356755508</v>
      </c>
      <c r="H14" s="205">
        <v>20.66</v>
      </c>
      <c r="I14" s="205">
        <v>0</v>
      </c>
    </row>
    <row r="15" spans="1:26" s="5" customFormat="1" ht="15" x14ac:dyDescent="0.35">
      <c r="A15" s="10" t="s">
        <v>5</v>
      </c>
      <c r="B15" s="207">
        <v>2955.75</v>
      </c>
      <c r="C15" s="207">
        <v>2894.4</v>
      </c>
      <c r="D15" s="207">
        <v>2652.5</v>
      </c>
      <c r="E15" s="207">
        <v>6328</v>
      </c>
      <c r="F15" s="200">
        <v>4533.7299999999996</v>
      </c>
      <c r="G15" s="208">
        <v>3134.2083063343716</v>
      </c>
      <c r="H15" s="205">
        <v>571.32000000000005</v>
      </c>
      <c r="I15" s="205">
        <v>2499.7199999999998</v>
      </c>
    </row>
    <row r="16" spans="1:26" s="5" customFormat="1" ht="15" x14ac:dyDescent="0.35">
      <c r="A16" s="10" t="s">
        <v>835</v>
      </c>
      <c r="B16" s="207">
        <v>261</v>
      </c>
      <c r="C16" s="207">
        <f>648.5+58</f>
        <v>706.5</v>
      </c>
      <c r="D16" s="207">
        <v>2564</v>
      </c>
      <c r="E16" s="207">
        <v>1561</v>
      </c>
      <c r="F16" s="200">
        <v>161.91999999999999</v>
      </c>
      <c r="G16" s="208">
        <v>687.73487896619349</v>
      </c>
      <c r="H16" s="205">
        <v>96.1</v>
      </c>
      <c r="I16" s="205">
        <v>410.39</v>
      </c>
    </row>
    <row r="17" spans="1:9" s="5" customFormat="1" ht="15" x14ac:dyDescent="0.35">
      <c r="A17" s="10" t="s">
        <v>836</v>
      </c>
      <c r="B17" s="207">
        <v>285.5</v>
      </c>
      <c r="C17" s="207">
        <v>1122</v>
      </c>
      <c r="D17" s="207">
        <v>664</v>
      </c>
      <c r="E17" s="207">
        <v>2413</v>
      </c>
      <c r="F17" s="200">
        <v>2077.96</v>
      </c>
      <c r="G17" s="208">
        <v>1072.7234438675437</v>
      </c>
      <c r="H17" s="205">
        <v>96.1</v>
      </c>
      <c r="I17" s="205">
        <v>0</v>
      </c>
    </row>
    <row r="18" spans="1:9" s="5" customFormat="1" ht="15" x14ac:dyDescent="0.35">
      <c r="A18" s="10" t="s">
        <v>837</v>
      </c>
      <c r="B18" s="207">
        <v>1014.5</v>
      </c>
      <c r="C18" s="207">
        <v>453.5</v>
      </c>
      <c r="D18" s="207">
        <v>1438</v>
      </c>
      <c r="E18" s="207">
        <v>3990</v>
      </c>
      <c r="F18" s="200">
        <v>2644.67</v>
      </c>
      <c r="G18" s="208">
        <v>3006.3974939425407</v>
      </c>
      <c r="H18" s="205">
        <v>735.17</v>
      </c>
      <c r="I18" s="205">
        <v>479.43</v>
      </c>
    </row>
    <row r="19" spans="1:9" s="5" customFormat="1" ht="15" x14ac:dyDescent="0.35">
      <c r="A19" s="10" t="s">
        <v>838</v>
      </c>
      <c r="B19" s="207">
        <v>1469</v>
      </c>
      <c r="C19" s="207">
        <v>1132</v>
      </c>
      <c r="D19" s="207">
        <v>1367.5</v>
      </c>
      <c r="E19" s="207">
        <v>1867</v>
      </c>
      <c r="F19" s="200">
        <v>1079.46</v>
      </c>
      <c r="G19" s="208">
        <v>1509.0650496134763</v>
      </c>
      <c r="H19" s="205">
        <v>2498.6</v>
      </c>
      <c r="I19" s="205">
        <v>0</v>
      </c>
    </row>
    <row r="20" spans="1:9" s="5" customFormat="1" ht="15" x14ac:dyDescent="0.35">
      <c r="A20" s="10" t="s">
        <v>839</v>
      </c>
      <c r="B20" s="207">
        <v>220.75</v>
      </c>
      <c r="C20" s="207">
        <v>702</v>
      </c>
      <c r="D20" s="207">
        <v>658</v>
      </c>
      <c r="E20" s="207">
        <v>898</v>
      </c>
      <c r="F20" s="200">
        <v>1079.46</v>
      </c>
      <c r="G20" s="208">
        <v>763.93390619591548</v>
      </c>
      <c r="H20" s="205">
        <v>163.37</v>
      </c>
      <c r="I20" s="205">
        <v>0</v>
      </c>
    </row>
    <row r="21" spans="1:9" s="5" customFormat="1" ht="15" x14ac:dyDescent="0.35">
      <c r="A21" s="10" t="s">
        <v>840</v>
      </c>
      <c r="B21" s="207">
        <v>66.5</v>
      </c>
      <c r="C21" s="207">
        <v>145</v>
      </c>
      <c r="D21" s="207">
        <v>418.5</v>
      </c>
      <c r="E21" s="207">
        <v>651</v>
      </c>
      <c r="F21" s="200">
        <v>188.91</v>
      </c>
      <c r="G21" s="208">
        <f>900.848530402677+175</f>
        <v>1075.8485304026772</v>
      </c>
      <c r="H21" s="205">
        <v>588.15</v>
      </c>
      <c r="I21" s="205">
        <v>0</v>
      </c>
    </row>
    <row r="22" spans="1:9" s="5" customFormat="1" ht="15" x14ac:dyDescent="0.35">
      <c r="A22" s="10" t="s">
        <v>841</v>
      </c>
      <c r="B22" s="207">
        <v>229.25</v>
      </c>
      <c r="C22" s="207">
        <v>156.5</v>
      </c>
      <c r="D22" s="207">
        <v>72</v>
      </c>
      <c r="E22" s="207">
        <v>683</v>
      </c>
      <c r="F22" s="200">
        <v>0</v>
      </c>
      <c r="G22" s="208">
        <v>73.916810891888773</v>
      </c>
      <c r="H22" s="205">
        <v>0</v>
      </c>
      <c r="I22" s="205">
        <v>0</v>
      </c>
    </row>
    <row r="23" spans="1:9" s="5" customFormat="1" ht="15" x14ac:dyDescent="0.35">
      <c r="A23" s="10" t="s">
        <v>842</v>
      </c>
      <c r="B23" s="207">
        <v>581</v>
      </c>
      <c r="C23" s="207">
        <v>131.5</v>
      </c>
      <c r="D23" s="207">
        <f>693.5+250</f>
        <v>943.5</v>
      </c>
      <c r="E23" s="207">
        <f>1513+626</f>
        <v>2139</v>
      </c>
      <c r="F23" s="200">
        <f>1619.19</f>
        <v>1619.19</v>
      </c>
      <c r="G23" s="208">
        <v>939.12647352024919</v>
      </c>
      <c r="H23" s="205">
        <v>656.85</v>
      </c>
      <c r="I23" s="205">
        <v>2205.36</v>
      </c>
    </row>
    <row r="24" spans="1:9" s="5" customFormat="1" ht="15" x14ac:dyDescent="0.35">
      <c r="A24" s="10" t="s">
        <v>6</v>
      </c>
      <c r="B24" s="207">
        <v>191</v>
      </c>
      <c r="C24" s="207">
        <v>727</v>
      </c>
      <c r="D24" s="207">
        <v>719</v>
      </c>
      <c r="E24" s="207">
        <v>98</v>
      </c>
      <c r="F24" s="200">
        <v>53.97</v>
      </c>
      <c r="G24" s="208">
        <v>219.90251240336909</v>
      </c>
      <c r="H24" s="205">
        <v>274.37</v>
      </c>
      <c r="I24" s="205">
        <v>1011.59</v>
      </c>
    </row>
    <row r="25" spans="1:9" s="5" customFormat="1" ht="15" x14ac:dyDescent="0.35">
      <c r="A25" s="10" t="s">
        <v>7</v>
      </c>
      <c r="B25" s="207">
        <v>28.5</v>
      </c>
      <c r="C25" s="207">
        <v>193.5</v>
      </c>
      <c r="D25" s="207">
        <v>28.5</v>
      </c>
      <c r="E25" s="207">
        <v>979</v>
      </c>
      <c r="F25" s="200">
        <v>1187.4000000000001</v>
      </c>
      <c r="G25" s="208">
        <v>1056.0180816891659</v>
      </c>
      <c r="H25" s="205">
        <v>506.93</v>
      </c>
      <c r="I25" s="205">
        <v>0</v>
      </c>
    </row>
    <row r="26" spans="1:9" s="5" customFormat="1" ht="15" x14ac:dyDescent="0.35">
      <c r="A26" s="10" t="s">
        <v>843</v>
      </c>
      <c r="B26" s="207">
        <f>431+213</f>
        <v>644</v>
      </c>
      <c r="C26" s="207">
        <f>83+237</f>
        <v>320</v>
      </c>
      <c r="D26" s="207">
        <f>673.5+746</f>
        <v>1419.5</v>
      </c>
      <c r="E26" s="207">
        <f>755+966</f>
        <v>1721</v>
      </c>
      <c r="F26" s="200">
        <f>2158.92</f>
        <v>2158.92</v>
      </c>
      <c r="G26" s="208">
        <v>898.78448032767972</v>
      </c>
      <c r="H26" s="205">
        <v>312.32</v>
      </c>
      <c r="I26" s="205">
        <v>110.27</v>
      </c>
    </row>
    <row r="27" spans="1:9" s="5" customFormat="1" ht="15" x14ac:dyDescent="0.35">
      <c r="A27" s="10" t="s">
        <v>320</v>
      </c>
      <c r="B27" s="207"/>
      <c r="C27" s="207">
        <v>152.5</v>
      </c>
      <c r="D27" s="207">
        <v>90</v>
      </c>
      <c r="E27" s="207">
        <v>135</v>
      </c>
      <c r="F27" s="200">
        <v>161.91999999999999</v>
      </c>
      <c r="G27" s="208">
        <v>1325.3373797161648</v>
      </c>
      <c r="H27" s="205">
        <v>0</v>
      </c>
      <c r="I27" s="205">
        <v>0</v>
      </c>
    </row>
    <row r="28" spans="1:9" s="5" customFormat="1" ht="15" x14ac:dyDescent="0.35">
      <c r="A28" s="10" t="s">
        <v>8</v>
      </c>
      <c r="B28" s="207">
        <v>2071</v>
      </c>
      <c r="C28" s="207">
        <v>60.5</v>
      </c>
      <c r="D28" s="207">
        <v>1894</v>
      </c>
      <c r="E28" s="207">
        <v>2006</v>
      </c>
      <c r="F28" s="200">
        <v>2428.7800000000002</v>
      </c>
      <c r="G28" s="208">
        <v>1325.3373797161648</v>
      </c>
      <c r="H28" s="205">
        <v>498.76</v>
      </c>
      <c r="I28" s="205">
        <v>225.81</v>
      </c>
    </row>
    <row r="29" spans="1:9" s="5" customFormat="1" ht="15.45" thickBot="1" x14ac:dyDescent="0.4">
      <c r="A29" s="10" t="s">
        <v>9</v>
      </c>
      <c r="B29" s="207">
        <v>635.5</v>
      </c>
      <c r="C29" s="207">
        <v>403.5</v>
      </c>
      <c r="D29" s="207">
        <v>570</v>
      </c>
      <c r="E29" s="207">
        <v>662</v>
      </c>
      <c r="F29" s="200">
        <v>809.59</v>
      </c>
      <c r="G29" s="208">
        <v>842.45791542632969</v>
      </c>
      <c r="H29" s="205">
        <v>185.95</v>
      </c>
      <c r="I29" s="205">
        <v>0</v>
      </c>
    </row>
    <row r="30" spans="1:9" ht="15.9" thickBot="1" x14ac:dyDescent="0.45">
      <c r="A30" s="2" t="s">
        <v>10</v>
      </c>
      <c r="B30" s="209">
        <f t="shared" ref="B30:G30" si="0">SUM(B5:B29)</f>
        <v>26232.5</v>
      </c>
      <c r="C30" s="209">
        <f t="shared" si="0"/>
        <v>22810</v>
      </c>
      <c r="D30" s="209">
        <f t="shared" si="0"/>
        <v>29198</v>
      </c>
      <c r="E30" s="209">
        <f t="shared" si="0"/>
        <v>43530</v>
      </c>
      <c r="F30" s="209">
        <f t="shared" si="0"/>
        <v>36647.639999999985</v>
      </c>
      <c r="G30" s="209">
        <f t="shared" si="0"/>
        <v>31781.634879716163</v>
      </c>
      <c r="H30" s="118">
        <f>SUM(H5:H29)</f>
        <v>12344.110000000002</v>
      </c>
      <c r="I30" s="118">
        <f>SUM(I5:I29)</f>
        <v>16002.41</v>
      </c>
    </row>
    <row r="31" spans="1:9" ht="15" x14ac:dyDescent="0.35">
      <c r="A31" s="5"/>
    </row>
    <row r="33" spans="6:7" x14ac:dyDescent="0.3">
      <c r="F33" s="107"/>
    </row>
    <row r="35" spans="6:7" x14ac:dyDescent="0.3">
      <c r="F35" s="191"/>
    </row>
    <row r="37" spans="6:7" x14ac:dyDescent="0.3">
      <c r="G37" s="192"/>
    </row>
  </sheetData>
  <mergeCells count="2">
    <mergeCell ref="B2:D2"/>
    <mergeCell ref="B1:D1"/>
  </mergeCells>
  <phoneticPr fontId="5" type="noConversion"/>
  <conditionalFormatting sqref="B5:B6 A5:A28 A20:B29">
    <cfRule type="expression" dxfId="12" priority="14" stopIfTrue="1">
      <formula>"MOD(ROW(),2) = 1"</formula>
    </cfRule>
  </conditionalFormatting>
  <conditionalFormatting sqref="B7:B12">
    <cfRule type="expression" dxfId="11" priority="12" stopIfTrue="1">
      <formula>"MOD(ROW(),2) = 1"</formula>
    </cfRule>
  </conditionalFormatting>
  <conditionalFormatting sqref="B13">
    <cfRule type="expression" dxfId="10" priority="11" stopIfTrue="1">
      <formula>"MOD(ROW(),2) = 1"</formula>
    </cfRule>
  </conditionalFormatting>
  <conditionalFormatting sqref="B14">
    <cfRule type="expression" dxfId="9" priority="10" stopIfTrue="1">
      <formula>"MOD(ROW(),2) = 1"</formula>
    </cfRule>
  </conditionalFormatting>
  <conditionalFormatting sqref="B15">
    <cfRule type="expression" dxfId="8" priority="9" stopIfTrue="1">
      <formula>"MOD(ROW(),2) = 1"</formula>
    </cfRule>
  </conditionalFormatting>
  <conditionalFormatting sqref="B16">
    <cfRule type="expression" dxfId="7" priority="8" stopIfTrue="1">
      <formula>"MOD(ROW(),2) = 1"</formula>
    </cfRule>
  </conditionalFormatting>
  <conditionalFormatting sqref="B17:B19">
    <cfRule type="expression" dxfId="6" priority="7" stopIfTrue="1">
      <formula>"MOD(ROW(),2) = 1"</formula>
    </cfRule>
  </conditionalFormatting>
  <conditionalFormatting sqref="A7:A12">
    <cfRule type="expression" dxfId="5" priority="6" stopIfTrue="1">
      <formula>"MOD(ROW(),2) = 1"</formula>
    </cfRule>
  </conditionalFormatting>
  <conditionalFormatting sqref="A13">
    <cfRule type="expression" dxfId="4" priority="5" stopIfTrue="1">
      <formula>"MOD(ROW(),2) = 1"</formula>
    </cfRule>
  </conditionalFormatting>
  <conditionalFormatting sqref="A14">
    <cfRule type="expression" dxfId="3" priority="4" stopIfTrue="1">
      <formula>"MOD(ROW(),2) = 1"</formula>
    </cfRule>
  </conditionalFormatting>
  <conditionalFormatting sqref="A15">
    <cfRule type="expression" dxfId="2" priority="3" stopIfTrue="1">
      <formula>"MOD(ROW(),2) = 1"</formula>
    </cfRule>
  </conditionalFormatting>
  <conditionalFormatting sqref="A16">
    <cfRule type="expression" dxfId="1" priority="2" stopIfTrue="1">
      <formula>"MOD(ROW(),2) = 1"</formula>
    </cfRule>
  </conditionalFormatting>
  <conditionalFormatting sqref="A17:A19">
    <cfRule type="expression" dxfId="0" priority="1" stopIfTrue="1">
      <formula>"MOD(ROW(),2) = 1"</formula>
    </cfRule>
  </conditionalFormatting>
  <pageMargins left="0.7" right="0.7" top="0.75" bottom="0.75" header="0.3" footer="0.3"/>
  <pageSetup scale="83" orientation="portrait" horizontalDpi="1800" verticalDpi="18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8"/>
  <sheetViews>
    <sheetView topLeftCell="A540" workbookViewId="0">
      <selection activeCell="D573" sqref="D573"/>
    </sheetView>
  </sheetViews>
  <sheetFormatPr defaultColWidth="11.53515625" defaultRowHeight="12.45" x14ac:dyDescent="0.3"/>
  <cols>
    <col min="1" max="1" width="7.3828125" customWidth="1"/>
    <col min="2" max="2" width="10.15234375" customWidth="1"/>
    <col min="3" max="3" width="22.15234375" customWidth="1"/>
    <col min="4" max="4" width="11.53515625" customWidth="1"/>
    <col min="5" max="5" width="43.3046875" customWidth="1"/>
    <col min="6" max="6" width="19.15234375" customWidth="1"/>
    <col min="7" max="7" width="13.53515625" customWidth="1"/>
  </cols>
  <sheetData>
    <row r="1" spans="1:7" ht="17.600000000000001" x14ac:dyDescent="0.4">
      <c r="A1" s="154" t="s">
        <v>335</v>
      </c>
    </row>
    <row r="2" spans="1:7" x14ac:dyDescent="0.3">
      <c r="B2" s="148"/>
      <c r="D2" s="149"/>
      <c r="F2" s="152" t="s">
        <v>394</v>
      </c>
      <c r="G2" s="152" t="s">
        <v>394</v>
      </c>
    </row>
    <row r="3" spans="1:7" x14ac:dyDescent="0.3">
      <c r="A3" s="151" t="s">
        <v>389</v>
      </c>
      <c r="B3" s="150" t="s">
        <v>390</v>
      </c>
      <c r="C3" s="151" t="s">
        <v>391</v>
      </c>
      <c r="D3" s="153" t="s">
        <v>392</v>
      </c>
      <c r="E3" s="151" t="s">
        <v>393</v>
      </c>
      <c r="F3" s="151" t="s">
        <v>395</v>
      </c>
      <c r="G3" s="151" t="s">
        <v>385</v>
      </c>
    </row>
    <row r="4" spans="1:7" x14ac:dyDescent="0.3">
      <c r="B4" s="148"/>
      <c r="D4" s="149"/>
      <c r="G4" s="147"/>
    </row>
    <row r="5" spans="1:7" x14ac:dyDescent="0.3">
      <c r="A5">
        <v>2153</v>
      </c>
      <c r="B5" s="148">
        <v>41485</v>
      </c>
      <c r="C5" t="s">
        <v>350</v>
      </c>
      <c r="D5" s="155">
        <v>450</v>
      </c>
      <c r="E5" t="s">
        <v>358</v>
      </c>
      <c r="F5" t="s">
        <v>388</v>
      </c>
      <c r="G5" s="147"/>
    </row>
    <row r="6" spans="1:7" x14ac:dyDescent="0.3">
      <c r="A6">
        <v>2154</v>
      </c>
      <c r="B6" s="148">
        <v>41485</v>
      </c>
      <c r="C6" t="s">
        <v>353</v>
      </c>
      <c r="D6" s="155">
        <v>140</v>
      </c>
      <c r="E6" t="s">
        <v>357</v>
      </c>
      <c r="G6" s="147" t="s">
        <v>385</v>
      </c>
    </row>
    <row r="7" spans="1:7" x14ac:dyDescent="0.3">
      <c r="A7">
        <v>2155</v>
      </c>
      <c r="B7" s="148"/>
      <c r="C7" t="s">
        <v>356</v>
      </c>
      <c r="D7" s="155">
        <v>0</v>
      </c>
      <c r="G7" s="147"/>
    </row>
    <row r="8" spans="1:7" x14ac:dyDescent="0.3">
      <c r="A8">
        <v>2156</v>
      </c>
      <c r="B8" s="148">
        <v>41493</v>
      </c>
      <c r="C8" t="s">
        <v>354</v>
      </c>
      <c r="D8" s="155">
        <v>1200</v>
      </c>
      <c r="E8" t="s">
        <v>359</v>
      </c>
      <c r="F8" t="s">
        <v>387</v>
      </c>
      <c r="G8" s="147"/>
    </row>
    <row r="9" spans="1:7" x14ac:dyDescent="0.3">
      <c r="A9">
        <v>2157</v>
      </c>
      <c r="B9" s="148">
        <v>41513</v>
      </c>
      <c r="C9" t="s">
        <v>352</v>
      </c>
      <c r="D9" s="155">
        <v>32.75</v>
      </c>
      <c r="E9" t="s">
        <v>360</v>
      </c>
      <c r="F9" t="s">
        <v>381</v>
      </c>
      <c r="G9" s="147"/>
    </row>
    <row r="10" spans="1:7" x14ac:dyDescent="0.3">
      <c r="A10">
        <v>2158</v>
      </c>
      <c r="B10" s="148">
        <v>41513</v>
      </c>
      <c r="C10" t="s">
        <v>355</v>
      </c>
      <c r="D10" s="155">
        <v>17.05</v>
      </c>
      <c r="E10" t="s">
        <v>361</v>
      </c>
      <c r="G10" s="147" t="s">
        <v>385</v>
      </c>
    </row>
    <row r="11" spans="1:7" x14ac:dyDescent="0.3">
      <c r="A11">
        <v>2128</v>
      </c>
      <c r="B11" s="148">
        <v>41530</v>
      </c>
      <c r="C11" t="s">
        <v>336</v>
      </c>
      <c r="D11" s="155">
        <v>40</v>
      </c>
      <c r="E11" t="s">
        <v>362</v>
      </c>
      <c r="G11" s="147" t="s">
        <v>385</v>
      </c>
    </row>
    <row r="12" spans="1:7" x14ac:dyDescent="0.3">
      <c r="A12">
        <v>2129</v>
      </c>
      <c r="B12" s="148">
        <v>41530</v>
      </c>
      <c r="C12" t="s">
        <v>337</v>
      </c>
      <c r="D12" s="155">
        <v>1500</v>
      </c>
      <c r="E12" t="s">
        <v>363</v>
      </c>
      <c r="G12" s="147" t="s">
        <v>385</v>
      </c>
    </row>
    <row r="13" spans="1:7" x14ac:dyDescent="0.3">
      <c r="A13">
        <v>2130</v>
      </c>
      <c r="B13" s="148">
        <v>41530</v>
      </c>
      <c r="C13" t="s">
        <v>338</v>
      </c>
      <c r="D13" s="155">
        <v>1456</v>
      </c>
      <c r="E13" t="s">
        <v>364</v>
      </c>
      <c r="F13" t="s">
        <v>382</v>
      </c>
      <c r="G13" s="147" t="s">
        <v>385</v>
      </c>
    </row>
    <row r="14" spans="1:7" x14ac:dyDescent="0.3">
      <c r="A14">
        <v>2131</v>
      </c>
      <c r="B14" s="148">
        <v>41530</v>
      </c>
      <c r="C14" t="s">
        <v>339</v>
      </c>
      <c r="D14" s="155">
        <v>4342.7700000000004</v>
      </c>
      <c r="E14" t="s">
        <v>365</v>
      </c>
      <c r="F14" t="s">
        <v>382</v>
      </c>
      <c r="G14" s="147" t="s">
        <v>385</v>
      </c>
    </row>
    <row r="15" spans="1:7" x14ac:dyDescent="0.3">
      <c r="A15">
        <v>2132</v>
      </c>
      <c r="B15" s="148">
        <v>41530</v>
      </c>
      <c r="C15" t="s">
        <v>340</v>
      </c>
      <c r="D15" s="155">
        <v>333.98</v>
      </c>
      <c r="E15" t="s">
        <v>366</v>
      </c>
      <c r="F15" t="s">
        <v>382</v>
      </c>
      <c r="G15" s="147"/>
    </row>
    <row r="16" spans="1:7" x14ac:dyDescent="0.3">
      <c r="A16">
        <v>2133</v>
      </c>
      <c r="B16" s="148">
        <v>41530</v>
      </c>
      <c r="C16" t="s">
        <v>341</v>
      </c>
      <c r="D16" s="155">
        <v>613.20000000000005</v>
      </c>
      <c r="E16" t="s">
        <v>367</v>
      </c>
      <c r="F16" t="s">
        <v>382</v>
      </c>
      <c r="G16" s="147"/>
    </row>
    <row r="17" spans="1:7" x14ac:dyDescent="0.3">
      <c r="A17">
        <v>2134</v>
      </c>
      <c r="B17" s="148">
        <v>41530</v>
      </c>
      <c r="C17" t="s">
        <v>342</v>
      </c>
      <c r="D17" s="155">
        <v>165</v>
      </c>
      <c r="E17" t="s">
        <v>368</v>
      </c>
      <c r="F17" t="s">
        <v>386</v>
      </c>
      <c r="G17" s="147"/>
    </row>
    <row r="18" spans="1:7" x14ac:dyDescent="0.3">
      <c r="A18">
        <v>2135</v>
      </c>
      <c r="B18" s="148">
        <v>41530</v>
      </c>
      <c r="C18" t="s">
        <v>343</v>
      </c>
      <c r="D18" s="155">
        <v>781.23</v>
      </c>
      <c r="E18" t="s">
        <v>369</v>
      </c>
      <c r="F18" t="s">
        <v>382</v>
      </c>
      <c r="G18" s="147"/>
    </row>
    <row r="19" spans="1:7" x14ac:dyDescent="0.3">
      <c r="A19">
        <v>2136</v>
      </c>
      <c r="B19" s="148">
        <v>41530</v>
      </c>
      <c r="C19" t="s">
        <v>344</v>
      </c>
      <c r="D19" s="155">
        <v>1185.83</v>
      </c>
      <c r="E19" t="s">
        <v>370</v>
      </c>
      <c r="G19" s="147" t="s">
        <v>385</v>
      </c>
    </row>
    <row r="20" spans="1:7" x14ac:dyDescent="0.3">
      <c r="A20">
        <v>2137</v>
      </c>
      <c r="B20" s="148">
        <v>41534</v>
      </c>
      <c r="C20" t="s">
        <v>345</v>
      </c>
      <c r="D20" s="155">
        <v>600</v>
      </c>
      <c r="E20" t="s">
        <v>371</v>
      </c>
      <c r="F20" t="s">
        <v>381</v>
      </c>
      <c r="G20" s="147" t="s">
        <v>385</v>
      </c>
    </row>
    <row r="21" spans="1:7" x14ac:dyDescent="0.3">
      <c r="A21">
        <v>2138</v>
      </c>
      <c r="B21" s="148">
        <v>41536</v>
      </c>
      <c r="C21" t="s">
        <v>346</v>
      </c>
      <c r="D21" s="155">
        <v>1673.16</v>
      </c>
      <c r="E21" t="s">
        <v>372</v>
      </c>
      <c r="F21" t="s">
        <v>384</v>
      </c>
      <c r="G21" s="147" t="s">
        <v>385</v>
      </c>
    </row>
    <row r="22" spans="1:7" x14ac:dyDescent="0.3">
      <c r="A22">
        <v>2139</v>
      </c>
      <c r="B22" s="148">
        <v>41537</v>
      </c>
      <c r="C22" t="s">
        <v>347</v>
      </c>
      <c r="D22" s="155">
        <v>19.71</v>
      </c>
      <c r="E22" t="s">
        <v>373</v>
      </c>
      <c r="F22" t="s">
        <v>382</v>
      </c>
      <c r="G22" s="147"/>
    </row>
    <row r="23" spans="1:7" x14ac:dyDescent="0.3">
      <c r="A23">
        <v>2140</v>
      </c>
      <c r="B23" s="148">
        <v>41537</v>
      </c>
      <c r="C23" t="s">
        <v>348</v>
      </c>
      <c r="D23" s="155">
        <v>135.44999999999999</v>
      </c>
      <c r="E23" t="s">
        <v>374</v>
      </c>
      <c r="F23" t="s">
        <v>384</v>
      </c>
      <c r="G23" s="147"/>
    </row>
    <row r="24" spans="1:7" x14ac:dyDescent="0.3">
      <c r="A24">
        <v>2141</v>
      </c>
      <c r="B24" s="148">
        <v>41537</v>
      </c>
      <c r="C24" t="s">
        <v>349</v>
      </c>
      <c r="D24" s="155">
        <v>3600</v>
      </c>
      <c r="E24" t="s">
        <v>375</v>
      </c>
      <c r="G24" s="147" t="s">
        <v>385</v>
      </c>
    </row>
    <row r="25" spans="1:7" x14ac:dyDescent="0.3">
      <c r="A25">
        <v>2142</v>
      </c>
      <c r="B25" s="148">
        <v>41540</v>
      </c>
      <c r="C25" t="s">
        <v>344</v>
      </c>
      <c r="D25" s="155">
        <v>213.53</v>
      </c>
      <c r="E25" t="s">
        <v>376</v>
      </c>
      <c r="F25" t="s">
        <v>382</v>
      </c>
      <c r="G25" s="147"/>
    </row>
    <row r="26" spans="1:7" x14ac:dyDescent="0.3">
      <c r="A26">
        <v>2143</v>
      </c>
      <c r="B26" s="148">
        <v>41540</v>
      </c>
      <c r="C26" t="s">
        <v>350</v>
      </c>
      <c r="D26" s="159">
        <v>450</v>
      </c>
      <c r="E26" t="s">
        <v>377</v>
      </c>
      <c r="F26" t="s">
        <v>382</v>
      </c>
      <c r="G26" s="147"/>
    </row>
    <row r="27" spans="1:7" x14ac:dyDescent="0.3">
      <c r="A27">
        <v>2144</v>
      </c>
      <c r="B27" s="148">
        <v>41540</v>
      </c>
      <c r="C27" t="s">
        <v>351</v>
      </c>
      <c r="D27" s="155">
        <v>333.32</v>
      </c>
      <c r="E27" t="s">
        <v>378</v>
      </c>
      <c r="F27" t="s">
        <v>383</v>
      </c>
      <c r="G27" s="147"/>
    </row>
    <row r="28" spans="1:7" x14ac:dyDescent="0.3">
      <c r="A28">
        <v>2145</v>
      </c>
      <c r="B28" s="148">
        <v>41543</v>
      </c>
      <c r="C28" t="s">
        <v>339</v>
      </c>
      <c r="D28" s="155">
        <v>390.92</v>
      </c>
      <c r="E28" t="s">
        <v>379</v>
      </c>
      <c r="F28" t="s">
        <v>382</v>
      </c>
      <c r="G28" s="147"/>
    </row>
    <row r="29" spans="1:7" x14ac:dyDescent="0.3">
      <c r="A29">
        <v>2146</v>
      </c>
      <c r="B29" s="148">
        <v>41554</v>
      </c>
      <c r="C29" t="s">
        <v>352</v>
      </c>
      <c r="D29" s="155">
        <v>1095.26</v>
      </c>
      <c r="E29" t="s">
        <v>380</v>
      </c>
      <c r="F29" t="s">
        <v>381</v>
      </c>
      <c r="G29" s="147"/>
    </row>
    <row r="30" spans="1:7" x14ac:dyDescent="0.3">
      <c r="A30">
        <v>2159</v>
      </c>
      <c r="B30" s="148">
        <v>41556</v>
      </c>
      <c r="C30" t="s">
        <v>349</v>
      </c>
      <c r="D30" s="155">
        <v>240</v>
      </c>
      <c r="E30" t="s">
        <v>397</v>
      </c>
      <c r="F30" t="s">
        <v>382</v>
      </c>
      <c r="G30" s="147"/>
    </row>
    <row r="31" spans="1:7" x14ac:dyDescent="0.3">
      <c r="A31">
        <v>2160</v>
      </c>
      <c r="B31" s="148">
        <v>41589</v>
      </c>
      <c r="C31" t="s">
        <v>400</v>
      </c>
      <c r="D31" s="159">
        <v>795</v>
      </c>
      <c r="E31" t="s">
        <v>457</v>
      </c>
      <c r="G31" s="147" t="s">
        <v>385</v>
      </c>
    </row>
    <row r="32" spans="1:7" x14ac:dyDescent="0.3">
      <c r="A32">
        <v>2161</v>
      </c>
      <c r="B32" s="148">
        <v>41591</v>
      </c>
      <c r="C32" t="s">
        <v>349</v>
      </c>
      <c r="D32" s="159">
        <v>1100</v>
      </c>
      <c r="E32" t="s">
        <v>402</v>
      </c>
      <c r="F32" t="s">
        <v>386</v>
      </c>
      <c r="G32" s="147"/>
    </row>
    <row r="33" spans="1:7" x14ac:dyDescent="0.3">
      <c r="A33">
        <v>2162</v>
      </c>
      <c r="B33" s="148">
        <v>41591</v>
      </c>
      <c r="C33" t="s">
        <v>342</v>
      </c>
      <c r="D33" s="159">
        <v>661.6</v>
      </c>
      <c r="E33" t="s">
        <v>403</v>
      </c>
      <c r="F33" t="s">
        <v>386</v>
      </c>
      <c r="G33" s="147"/>
    </row>
    <row r="34" spans="1:7" x14ac:dyDescent="0.3">
      <c r="A34">
        <v>2163</v>
      </c>
      <c r="B34" s="148">
        <v>41592</v>
      </c>
      <c r="C34" t="s">
        <v>339</v>
      </c>
      <c r="D34" s="159">
        <v>1931.8</v>
      </c>
      <c r="E34" t="s">
        <v>366</v>
      </c>
      <c r="F34" t="s">
        <v>388</v>
      </c>
      <c r="G34" s="147"/>
    </row>
    <row r="35" spans="1:7" x14ac:dyDescent="0.3">
      <c r="A35">
        <v>5001</v>
      </c>
      <c r="B35" s="148">
        <v>41593</v>
      </c>
      <c r="C35" t="s">
        <v>404</v>
      </c>
      <c r="D35" s="159">
        <v>534.36</v>
      </c>
      <c r="E35" t="s">
        <v>405</v>
      </c>
      <c r="F35" t="s">
        <v>406</v>
      </c>
      <c r="G35" s="147"/>
    </row>
    <row r="36" spans="1:7" x14ac:dyDescent="0.3">
      <c r="A36">
        <v>5002</v>
      </c>
      <c r="B36" s="148">
        <v>41603</v>
      </c>
      <c r="C36" t="s">
        <v>407</v>
      </c>
      <c r="D36" s="160">
        <v>1107.8499999999999</v>
      </c>
      <c r="E36" t="s">
        <v>408</v>
      </c>
      <c r="F36" t="s">
        <v>381</v>
      </c>
      <c r="G36" s="147"/>
    </row>
    <row r="37" spans="1:7" x14ac:dyDescent="0.3">
      <c r="A37">
        <v>5003</v>
      </c>
      <c r="B37" s="148">
        <v>41603</v>
      </c>
      <c r="C37" t="s">
        <v>352</v>
      </c>
      <c r="D37" s="159">
        <v>233.7</v>
      </c>
      <c r="E37" t="s">
        <v>409</v>
      </c>
      <c r="F37" t="s">
        <v>381</v>
      </c>
      <c r="G37" s="147"/>
    </row>
    <row r="38" spans="1:7" x14ac:dyDescent="0.3">
      <c r="A38">
        <v>5004</v>
      </c>
      <c r="B38" s="148">
        <v>41603</v>
      </c>
      <c r="C38" t="s">
        <v>410</v>
      </c>
      <c r="D38" s="159">
        <v>62.38</v>
      </c>
      <c r="E38" t="s">
        <v>411</v>
      </c>
      <c r="F38" t="s">
        <v>381</v>
      </c>
      <c r="G38" s="147"/>
    </row>
    <row r="39" spans="1:7" x14ac:dyDescent="0.3">
      <c r="A39">
        <v>5005</v>
      </c>
      <c r="B39" s="148">
        <v>41603</v>
      </c>
      <c r="C39" t="s">
        <v>414</v>
      </c>
      <c r="D39" s="161">
        <v>175</v>
      </c>
      <c r="E39" t="s">
        <v>413</v>
      </c>
      <c r="F39" t="s">
        <v>412</v>
      </c>
      <c r="G39" s="147"/>
    </row>
    <row r="40" spans="1:7" x14ac:dyDescent="0.3">
      <c r="A40">
        <v>5006</v>
      </c>
      <c r="B40" s="148">
        <v>41603</v>
      </c>
      <c r="C40" t="s">
        <v>425</v>
      </c>
      <c r="D40" s="159">
        <v>251.25</v>
      </c>
      <c r="E40" t="s">
        <v>415</v>
      </c>
      <c r="F40" t="s">
        <v>412</v>
      </c>
      <c r="G40" s="147"/>
    </row>
    <row r="41" spans="1:7" x14ac:dyDescent="0.3">
      <c r="A41">
        <v>5007</v>
      </c>
      <c r="B41" s="148">
        <v>41603</v>
      </c>
      <c r="C41" t="s">
        <v>416</v>
      </c>
      <c r="D41" s="159">
        <v>73.5</v>
      </c>
      <c r="E41" t="s">
        <v>417</v>
      </c>
      <c r="F41" t="s">
        <v>412</v>
      </c>
      <c r="G41" s="147"/>
    </row>
    <row r="42" spans="1:7" x14ac:dyDescent="0.3">
      <c r="A42" s="157" t="s">
        <v>420</v>
      </c>
      <c r="B42" s="148">
        <v>41608</v>
      </c>
      <c r="C42" t="s">
        <v>418</v>
      </c>
      <c r="D42" s="159">
        <v>32.5</v>
      </c>
      <c r="E42" t="s">
        <v>419</v>
      </c>
      <c r="G42" s="147" t="s">
        <v>385</v>
      </c>
    </row>
    <row r="43" spans="1:7" x14ac:dyDescent="0.3">
      <c r="A43" s="157">
        <v>5008</v>
      </c>
      <c r="B43" s="148">
        <v>41618</v>
      </c>
      <c r="C43" t="s">
        <v>339</v>
      </c>
      <c r="D43" s="159">
        <v>640.58000000000004</v>
      </c>
      <c r="E43" t="s">
        <v>433</v>
      </c>
      <c r="F43" t="s">
        <v>382</v>
      </c>
      <c r="G43" s="147"/>
    </row>
    <row r="44" spans="1:7" x14ac:dyDescent="0.3">
      <c r="A44" s="157">
        <v>5009</v>
      </c>
      <c r="B44" s="148">
        <v>41618</v>
      </c>
      <c r="C44" t="s">
        <v>339</v>
      </c>
      <c r="D44" s="159">
        <v>536.44000000000005</v>
      </c>
      <c r="E44" t="s">
        <v>434</v>
      </c>
      <c r="F44" t="s">
        <v>382</v>
      </c>
      <c r="G44" s="147"/>
    </row>
    <row r="45" spans="1:7" x14ac:dyDescent="0.3">
      <c r="A45" s="157">
        <v>5010</v>
      </c>
      <c r="B45" s="148">
        <v>41618</v>
      </c>
      <c r="C45" t="s">
        <v>425</v>
      </c>
      <c r="D45" s="159">
        <f>528.6-251.25</f>
        <v>277.35000000000002</v>
      </c>
      <c r="E45" t="s">
        <v>409</v>
      </c>
      <c r="F45" t="s">
        <v>412</v>
      </c>
      <c r="G45" s="147"/>
    </row>
    <row r="46" spans="1:7" x14ac:dyDescent="0.3">
      <c r="A46" s="157">
        <v>5011</v>
      </c>
      <c r="B46" s="148">
        <v>41618</v>
      </c>
      <c r="C46" t="s">
        <v>426</v>
      </c>
      <c r="D46" s="159">
        <v>72.3</v>
      </c>
      <c r="E46" t="s">
        <v>409</v>
      </c>
      <c r="F46" t="s">
        <v>383</v>
      </c>
      <c r="G46" s="147"/>
    </row>
    <row r="47" spans="1:7" x14ac:dyDescent="0.3">
      <c r="A47" s="157">
        <v>5012</v>
      </c>
      <c r="B47" s="148">
        <v>41618</v>
      </c>
      <c r="C47" t="s">
        <v>427</v>
      </c>
      <c r="D47" s="159">
        <v>90</v>
      </c>
      <c r="E47" t="s">
        <v>435</v>
      </c>
      <c r="G47" s="147" t="s">
        <v>385</v>
      </c>
    </row>
    <row r="48" spans="1:7" x14ac:dyDescent="0.3">
      <c r="A48" s="157">
        <v>5013</v>
      </c>
      <c r="B48" s="148">
        <v>41621</v>
      </c>
      <c r="C48" t="s">
        <v>428</v>
      </c>
      <c r="D48" s="159">
        <v>446.69</v>
      </c>
      <c r="E48" t="s">
        <v>436</v>
      </c>
      <c r="G48" s="147" t="s">
        <v>385</v>
      </c>
    </row>
    <row r="49" spans="1:7" x14ac:dyDescent="0.3">
      <c r="A49" s="157">
        <v>5014</v>
      </c>
      <c r="B49" s="148">
        <v>41626</v>
      </c>
      <c r="C49" t="s">
        <v>339</v>
      </c>
      <c r="D49" s="159">
        <v>756.87</v>
      </c>
      <c r="E49" t="s">
        <v>439</v>
      </c>
      <c r="G49" s="147" t="s">
        <v>385</v>
      </c>
    </row>
    <row r="50" spans="1:7" x14ac:dyDescent="0.3">
      <c r="A50" s="157">
        <v>5015</v>
      </c>
      <c r="B50" s="148">
        <v>41626</v>
      </c>
      <c r="C50" t="s">
        <v>429</v>
      </c>
      <c r="D50" s="159">
        <v>34.799999999999997</v>
      </c>
      <c r="E50" t="s">
        <v>440</v>
      </c>
      <c r="F50" t="s">
        <v>447</v>
      </c>
      <c r="G50" s="147"/>
    </row>
    <row r="51" spans="1:7" x14ac:dyDescent="0.3">
      <c r="A51" s="157">
        <v>5016</v>
      </c>
      <c r="B51" s="148">
        <v>41626</v>
      </c>
      <c r="C51" t="s">
        <v>430</v>
      </c>
      <c r="D51" s="159">
        <v>500</v>
      </c>
      <c r="E51" t="s">
        <v>441</v>
      </c>
      <c r="G51" s="147" t="s">
        <v>385</v>
      </c>
    </row>
    <row r="52" spans="1:7" x14ac:dyDescent="0.3">
      <c r="A52" s="157">
        <v>5017</v>
      </c>
      <c r="B52" s="148">
        <v>41635</v>
      </c>
      <c r="C52" t="s">
        <v>431</v>
      </c>
      <c r="D52" s="165">
        <v>185</v>
      </c>
      <c r="E52" t="s">
        <v>438</v>
      </c>
      <c r="G52" s="147" t="s">
        <v>385</v>
      </c>
    </row>
    <row r="53" spans="1:7" x14ac:dyDescent="0.3">
      <c r="A53" s="157" t="s">
        <v>420</v>
      </c>
      <c r="B53" s="148">
        <v>41639</v>
      </c>
      <c r="C53" t="s">
        <v>424</v>
      </c>
      <c r="D53" s="159">
        <v>19.010000000000002</v>
      </c>
      <c r="E53" t="s">
        <v>437</v>
      </c>
      <c r="G53" s="147" t="s">
        <v>385</v>
      </c>
    </row>
    <row r="54" spans="1:7" x14ac:dyDescent="0.3">
      <c r="A54" s="157">
        <v>5018</v>
      </c>
      <c r="B54" s="148">
        <v>41652</v>
      </c>
      <c r="C54" t="s">
        <v>432</v>
      </c>
      <c r="D54" s="160">
        <v>446.69</v>
      </c>
      <c r="E54" t="s">
        <v>436</v>
      </c>
      <c r="G54" s="147" t="s">
        <v>385</v>
      </c>
    </row>
    <row r="55" spans="1:7" x14ac:dyDescent="0.3">
      <c r="A55" s="157">
        <v>5019</v>
      </c>
      <c r="B55" s="148">
        <v>41653</v>
      </c>
      <c r="C55" t="s">
        <v>442</v>
      </c>
      <c r="D55" s="160">
        <v>771.48</v>
      </c>
      <c r="E55" t="s">
        <v>445</v>
      </c>
      <c r="F55" t="s">
        <v>446</v>
      </c>
      <c r="G55" s="147"/>
    </row>
    <row r="56" spans="1:7" x14ac:dyDescent="0.3">
      <c r="A56" s="157">
        <v>5020</v>
      </c>
      <c r="B56" s="148">
        <v>41653</v>
      </c>
      <c r="C56" t="s">
        <v>443</v>
      </c>
      <c r="D56" s="160">
        <v>139.71</v>
      </c>
      <c r="E56" t="s">
        <v>401</v>
      </c>
      <c r="G56" s="147" t="s">
        <v>385</v>
      </c>
    </row>
    <row r="57" spans="1:7" x14ac:dyDescent="0.3">
      <c r="A57" s="157">
        <v>5021</v>
      </c>
      <c r="B57" s="148">
        <v>41653</v>
      </c>
      <c r="C57" t="s">
        <v>444</v>
      </c>
      <c r="D57" s="161">
        <v>75.66</v>
      </c>
      <c r="E57" t="s">
        <v>401</v>
      </c>
      <c r="G57" s="147" t="s">
        <v>385</v>
      </c>
    </row>
    <row r="58" spans="1:7" x14ac:dyDescent="0.3">
      <c r="A58" s="157">
        <v>5022</v>
      </c>
      <c r="B58" s="148">
        <v>41653</v>
      </c>
      <c r="C58" t="s">
        <v>448</v>
      </c>
      <c r="D58" s="160">
        <v>225</v>
      </c>
      <c r="E58" t="s">
        <v>452</v>
      </c>
      <c r="G58" s="147" t="s">
        <v>385</v>
      </c>
    </row>
    <row r="59" spans="1:7" x14ac:dyDescent="0.3">
      <c r="A59" s="157">
        <v>5023</v>
      </c>
      <c r="B59" s="148">
        <v>41654</v>
      </c>
      <c r="C59" t="s">
        <v>449</v>
      </c>
      <c r="D59" s="160">
        <v>750</v>
      </c>
      <c r="E59" t="s">
        <v>453</v>
      </c>
      <c r="G59" s="147" t="s">
        <v>385</v>
      </c>
    </row>
    <row r="60" spans="1:7" x14ac:dyDescent="0.3">
      <c r="A60" s="157">
        <v>5024</v>
      </c>
      <c r="B60" s="148">
        <v>41655</v>
      </c>
      <c r="C60" t="s">
        <v>450</v>
      </c>
      <c r="D60" s="160">
        <v>404.98</v>
      </c>
      <c r="E60" t="s">
        <v>454</v>
      </c>
      <c r="F60" t="s">
        <v>447</v>
      </c>
      <c r="G60" s="147"/>
    </row>
    <row r="61" spans="1:7" x14ac:dyDescent="0.3">
      <c r="A61" s="157">
        <v>5025</v>
      </c>
      <c r="B61" s="148">
        <v>41656</v>
      </c>
      <c r="C61" t="s">
        <v>339</v>
      </c>
      <c r="D61" s="160">
        <v>446.76</v>
      </c>
      <c r="E61" t="s">
        <v>455</v>
      </c>
      <c r="F61" t="s">
        <v>456</v>
      </c>
      <c r="G61" s="147" t="s">
        <v>385</v>
      </c>
    </row>
    <row r="62" spans="1:7" x14ac:dyDescent="0.3">
      <c r="A62" s="157">
        <v>5026</v>
      </c>
      <c r="B62" s="148">
        <v>41663</v>
      </c>
      <c r="C62" t="s">
        <v>451</v>
      </c>
      <c r="D62" s="160">
        <v>5000</v>
      </c>
      <c r="E62" t="s">
        <v>458</v>
      </c>
      <c r="G62" s="147" t="s">
        <v>385</v>
      </c>
    </row>
    <row r="63" spans="1:7" x14ac:dyDescent="0.3">
      <c r="A63" s="157">
        <v>5027</v>
      </c>
      <c r="B63" s="148">
        <v>41667</v>
      </c>
      <c r="C63" t="s">
        <v>338</v>
      </c>
      <c r="D63" s="161">
        <v>495</v>
      </c>
      <c r="E63" t="s">
        <v>459</v>
      </c>
      <c r="F63" t="s">
        <v>382</v>
      </c>
      <c r="G63" s="147"/>
    </row>
    <row r="64" spans="1:7" x14ac:dyDescent="0.3">
      <c r="A64" s="157">
        <v>5028</v>
      </c>
      <c r="B64" s="148">
        <v>41667</v>
      </c>
      <c r="C64" t="s">
        <v>472</v>
      </c>
      <c r="D64" s="161">
        <v>423.81</v>
      </c>
      <c r="E64" t="s">
        <v>462</v>
      </c>
      <c r="G64" s="147" t="s">
        <v>385</v>
      </c>
    </row>
    <row r="65" spans="1:7" x14ac:dyDescent="0.3">
      <c r="A65" s="157">
        <v>5029</v>
      </c>
      <c r="B65" s="148">
        <v>41677</v>
      </c>
      <c r="C65" t="s">
        <v>463</v>
      </c>
      <c r="D65" s="161">
        <v>1465.11</v>
      </c>
      <c r="E65" t="s">
        <v>466</v>
      </c>
      <c r="G65" s="147"/>
    </row>
    <row r="66" spans="1:7" x14ac:dyDescent="0.3">
      <c r="A66" s="157">
        <v>5030</v>
      </c>
      <c r="B66" s="148">
        <v>41677</v>
      </c>
      <c r="C66" t="s">
        <v>464</v>
      </c>
      <c r="D66" s="163">
        <v>345</v>
      </c>
      <c r="E66" t="s">
        <v>467</v>
      </c>
      <c r="F66" t="s">
        <v>468</v>
      </c>
      <c r="G66" s="147" t="s">
        <v>385</v>
      </c>
    </row>
    <row r="67" spans="1:7" x14ac:dyDescent="0.3">
      <c r="A67" s="157">
        <v>5031</v>
      </c>
      <c r="B67" s="148">
        <v>41680</v>
      </c>
      <c r="C67" t="s">
        <v>430</v>
      </c>
      <c r="D67" s="161">
        <v>2250</v>
      </c>
      <c r="E67" t="s">
        <v>465</v>
      </c>
      <c r="G67" s="147" t="s">
        <v>385</v>
      </c>
    </row>
    <row r="68" spans="1:7" x14ac:dyDescent="0.3">
      <c r="A68" s="157">
        <v>5032</v>
      </c>
      <c r="B68" s="148">
        <v>41680</v>
      </c>
      <c r="C68" t="s">
        <v>469</v>
      </c>
      <c r="D68" s="161">
        <v>92.55</v>
      </c>
      <c r="E68" t="s">
        <v>480</v>
      </c>
      <c r="G68" s="147" t="s">
        <v>385</v>
      </c>
    </row>
    <row r="69" spans="1:7" x14ac:dyDescent="0.3">
      <c r="A69" s="157">
        <v>5033</v>
      </c>
      <c r="B69" s="148">
        <v>41680</v>
      </c>
      <c r="C69" t="s">
        <v>425</v>
      </c>
      <c r="D69" s="165">
        <v>77.03</v>
      </c>
      <c r="E69" t="s">
        <v>481</v>
      </c>
      <c r="G69" s="147" t="s">
        <v>385</v>
      </c>
    </row>
    <row r="70" spans="1:7" x14ac:dyDescent="0.3">
      <c r="A70" s="157">
        <v>5034</v>
      </c>
      <c r="B70" s="148">
        <v>41680</v>
      </c>
      <c r="C70" t="s">
        <v>470</v>
      </c>
      <c r="D70" s="161">
        <v>998.69</v>
      </c>
      <c r="E70" t="s">
        <v>482</v>
      </c>
      <c r="G70" s="147" t="s">
        <v>385</v>
      </c>
    </row>
    <row r="71" spans="1:7" x14ac:dyDescent="0.3">
      <c r="A71" s="157">
        <v>5035</v>
      </c>
      <c r="B71" s="148">
        <v>41680</v>
      </c>
      <c r="C71" t="s">
        <v>444</v>
      </c>
      <c r="D71" s="161">
        <v>226.36</v>
      </c>
      <c r="E71" t="s">
        <v>481</v>
      </c>
      <c r="G71" s="147" t="s">
        <v>385</v>
      </c>
    </row>
    <row r="72" spans="1:7" x14ac:dyDescent="0.3">
      <c r="A72" s="157">
        <v>5036</v>
      </c>
      <c r="B72" s="148">
        <v>41683</v>
      </c>
      <c r="C72" t="s">
        <v>471</v>
      </c>
      <c r="D72" s="161">
        <v>387.12</v>
      </c>
      <c r="E72" t="s">
        <v>483</v>
      </c>
      <c r="G72" s="147" t="s">
        <v>385</v>
      </c>
    </row>
    <row r="73" spans="1:7" x14ac:dyDescent="0.3">
      <c r="A73" s="157">
        <v>5037</v>
      </c>
      <c r="B73" s="148">
        <v>41683</v>
      </c>
      <c r="C73" t="s">
        <v>472</v>
      </c>
      <c r="D73" s="161">
        <v>27.38</v>
      </c>
      <c r="E73" t="s">
        <v>481</v>
      </c>
      <c r="G73" s="147" t="s">
        <v>385</v>
      </c>
    </row>
    <row r="74" spans="1:7" x14ac:dyDescent="0.3">
      <c r="A74" s="157">
        <v>5038</v>
      </c>
      <c r="B74" s="148">
        <v>41684</v>
      </c>
      <c r="C74" t="s">
        <v>339</v>
      </c>
      <c r="D74" s="161">
        <v>3397.4</v>
      </c>
      <c r="E74" t="s">
        <v>484</v>
      </c>
      <c r="F74" t="s">
        <v>485</v>
      </c>
      <c r="G74" s="147" t="s">
        <v>385</v>
      </c>
    </row>
    <row r="75" spans="1:7" x14ac:dyDescent="0.3">
      <c r="A75" s="157">
        <v>5039</v>
      </c>
      <c r="B75" s="148">
        <v>41684</v>
      </c>
      <c r="C75" t="s">
        <v>473</v>
      </c>
      <c r="D75" s="163">
        <v>9225</v>
      </c>
      <c r="E75" t="s">
        <v>486</v>
      </c>
      <c r="G75" s="147" t="s">
        <v>385</v>
      </c>
    </row>
    <row r="76" spans="1:7" x14ac:dyDescent="0.3">
      <c r="A76" s="157">
        <v>5040</v>
      </c>
      <c r="B76" s="148">
        <v>41689</v>
      </c>
      <c r="C76" t="s">
        <v>443</v>
      </c>
      <c r="D76" s="161">
        <v>194.1</v>
      </c>
      <c r="E76" t="s">
        <v>481</v>
      </c>
      <c r="G76" s="147" t="s">
        <v>385</v>
      </c>
    </row>
    <row r="77" spans="1:7" x14ac:dyDescent="0.3">
      <c r="A77" s="157">
        <v>5041</v>
      </c>
      <c r="B77" s="148">
        <v>41689</v>
      </c>
      <c r="C77" t="s">
        <v>474</v>
      </c>
      <c r="D77" s="161">
        <v>314.11</v>
      </c>
      <c r="E77" t="s">
        <v>436</v>
      </c>
      <c r="G77" s="147" t="s">
        <v>385</v>
      </c>
    </row>
    <row r="78" spans="1:7" x14ac:dyDescent="0.3">
      <c r="A78" s="157">
        <v>5042</v>
      </c>
      <c r="B78" s="148">
        <v>41690</v>
      </c>
      <c r="C78" t="s">
        <v>475</v>
      </c>
      <c r="D78" s="161">
        <v>845.31</v>
      </c>
      <c r="E78" t="s">
        <v>487</v>
      </c>
      <c r="G78" s="147" t="s">
        <v>385</v>
      </c>
    </row>
    <row r="79" spans="1:7" x14ac:dyDescent="0.3">
      <c r="A79" s="157">
        <v>5043</v>
      </c>
      <c r="B79" s="148">
        <v>41690</v>
      </c>
      <c r="C79" t="s">
        <v>476</v>
      </c>
      <c r="D79" s="163">
        <v>327.05</v>
      </c>
      <c r="E79" t="s">
        <v>488</v>
      </c>
      <c r="G79" s="147" t="s">
        <v>385</v>
      </c>
    </row>
    <row r="80" spans="1:7" x14ac:dyDescent="0.3">
      <c r="A80" s="157">
        <v>5044</v>
      </c>
      <c r="B80" s="148">
        <v>41701</v>
      </c>
      <c r="C80" t="s">
        <v>477</v>
      </c>
      <c r="D80" s="163">
        <v>470.4</v>
      </c>
      <c r="E80" t="s">
        <v>403</v>
      </c>
      <c r="F80" t="s">
        <v>489</v>
      </c>
      <c r="G80" s="147"/>
    </row>
    <row r="81" spans="1:7" x14ac:dyDescent="0.3">
      <c r="A81" s="157">
        <v>5045</v>
      </c>
      <c r="B81" s="148">
        <v>41701</v>
      </c>
      <c r="C81" t="s">
        <v>478</v>
      </c>
      <c r="D81" s="163">
        <v>59.99</v>
      </c>
      <c r="E81" t="s">
        <v>490</v>
      </c>
      <c r="F81" t="s">
        <v>489</v>
      </c>
      <c r="G81" s="147"/>
    </row>
    <row r="82" spans="1:7" x14ac:dyDescent="0.3">
      <c r="A82" s="157">
        <v>5046</v>
      </c>
      <c r="B82" s="148">
        <v>41701</v>
      </c>
      <c r="C82" t="s">
        <v>479</v>
      </c>
      <c r="D82" s="163">
        <v>528.89</v>
      </c>
      <c r="E82" t="s">
        <v>292</v>
      </c>
      <c r="G82" s="147" t="s">
        <v>385</v>
      </c>
    </row>
    <row r="83" spans="1:7" x14ac:dyDescent="0.3">
      <c r="A83" s="157">
        <v>5047</v>
      </c>
      <c r="B83" s="148">
        <v>41701</v>
      </c>
      <c r="C83" t="s">
        <v>492</v>
      </c>
      <c r="D83" s="163">
        <v>1113.31</v>
      </c>
      <c r="E83" t="s">
        <v>493</v>
      </c>
      <c r="F83" t="s">
        <v>489</v>
      </c>
      <c r="G83" s="147"/>
    </row>
    <row r="84" spans="1:7" x14ac:dyDescent="0.3">
      <c r="A84" s="157">
        <v>5048</v>
      </c>
      <c r="B84" s="148">
        <v>41704</v>
      </c>
      <c r="C84" t="s">
        <v>494</v>
      </c>
      <c r="D84" s="163">
        <v>213.43</v>
      </c>
      <c r="E84" t="s">
        <v>401</v>
      </c>
      <c r="G84" s="147" t="s">
        <v>385</v>
      </c>
    </row>
    <row r="85" spans="1:7" x14ac:dyDescent="0.3">
      <c r="A85" s="157">
        <v>5049</v>
      </c>
      <c r="B85" s="148">
        <v>41708</v>
      </c>
      <c r="C85" t="s">
        <v>496</v>
      </c>
      <c r="D85" s="165">
        <v>252.73</v>
      </c>
      <c r="E85" t="s">
        <v>513</v>
      </c>
      <c r="F85" t="s">
        <v>456</v>
      </c>
      <c r="G85" s="147"/>
    </row>
    <row r="86" spans="1:7" x14ac:dyDescent="0.3">
      <c r="A86" s="157">
        <v>5050</v>
      </c>
      <c r="B86" s="148">
        <v>41711</v>
      </c>
      <c r="C86" t="s">
        <v>497</v>
      </c>
      <c r="D86" s="163">
        <v>260.5</v>
      </c>
      <c r="E86" t="s">
        <v>511</v>
      </c>
      <c r="F86" t="s">
        <v>512</v>
      </c>
      <c r="G86" s="147"/>
    </row>
    <row r="87" spans="1:7" x14ac:dyDescent="0.3">
      <c r="A87" s="157">
        <v>5051</v>
      </c>
      <c r="B87" s="148">
        <v>41711</v>
      </c>
      <c r="C87" t="s">
        <v>498</v>
      </c>
      <c r="D87" s="163">
        <v>246.31</v>
      </c>
      <c r="E87" t="s">
        <v>510</v>
      </c>
      <c r="F87" t="s">
        <v>503</v>
      </c>
      <c r="G87" s="147"/>
    </row>
    <row r="88" spans="1:7" x14ac:dyDescent="0.3">
      <c r="A88" s="157">
        <v>5052</v>
      </c>
      <c r="B88" s="148">
        <v>41715</v>
      </c>
      <c r="C88" t="s">
        <v>499</v>
      </c>
      <c r="D88" s="164">
        <v>967.91</v>
      </c>
      <c r="E88" t="s">
        <v>509</v>
      </c>
      <c r="F88" t="s">
        <v>507</v>
      </c>
      <c r="G88" s="147" t="s">
        <v>385</v>
      </c>
    </row>
    <row r="89" spans="1:7" x14ac:dyDescent="0.3">
      <c r="A89" s="157">
        <v>5053</v>
      </c>
      <c r="B89" s="148">
        <v>41715</v>
      </c>
      <c r="C89" t="s">
        <v>349</v>
      </c>
      <c r="D89" s="163">
        <v>1773.25</v>
      </c>
      <c r="E89" t="s">
        <v>508</v>
      </c>
      <c r="G89" s="147" t="s">
        <v>385</v>
      </c>
    </row>
    <row r="90" spans="1:7" x14ac:dyDescent="0.3">
      <c r="A90" s="157">
        <v>5054</v>
      </c>
      <c r="B90" s="148">
        <v>41715</v>
      </c>
      <c r="C90" t="s">
        <v>340</v>
      </c>
      <c r="D90" s="166">
        <v>64.39</v>
      </c>
      <c r="E90" t="s">
        <v>506</v>
      </c>
      <c r="F90" t="s">
        <v>507</v>
      </c>
      <c r="G90" s="147"/>
    </row>
    <row r="91" spans="1:7" x14ac:dyDescent="0.3">
      <c r="A91" s="157">
        <v>5055</v>
      </c>
      <c r="B91" s="148">
        <v>41716</v>
      </c>
      <c r="C91" t="s">
        <v>500</v>
      </c>
      <c r="D91" s="163">
        <v>1373.68</v>
      </c>
      <c r="E91" t="s">
        <v>439</v>
      </c>
      <c r="F91" t="s">
        <v>503</v>
      </c>
      <c r="G91" s="147"/>
    </row>
    <row r="92" spans="1:7" x14ac:dyDescent="0.3">
      <c r="A92" s="157">
        <v>5056</v>
      </c>
      <c r="B92" s="148">
        <v>41726</v>
      </c>
      <c r="C92" t="s">
        <v>501</v>
      </c>
      <c r="D92" s="165">
        <v>1703.27</v>
      </c>
      <c r="E92" t="s">
        <v>505</v>
      </c>
      <c r="F92" t="s">
        <v>503</v>
      </c>
      <c r="G92" s="147"/>
    </row>
    <row r="93" spans="1:7" x14ac:dyDescent="0.3">
      <c r="A93" s="157">
        <v>5057</v>
      </c>
      <c r="B93" s="148">
        <v>41726</v>
      </c>
      <c r="C93" t="s">
        <v>500</v>
      </c>
      <c r="D93" s="163">
        <v>97.18</v>
      </c>
      <c r="E93" t="s">
        <v>433</v>
      </c>
      <c r="F93" t="s">
        <v>503</v>
      </c>
      <c r="G93" s="147"/>
    </row>
    <row r="94" spans="1:7" x14ac:dyDescent="0.3">
      <c r="A94" s="157">
        <v>5058</v>
      </c>
      <c r="B94" s="148">
        <v>41726</v>
      </c>
      <c r="C94" t="s">
        <v>353</v>
      </c>
      <c r="D94" s="166">
        <v>55</v>
      </c>
      <c r="E94" t="s">
        <v>504</v>
      </c>
      <c r="F94" t="s">
        <v>456</v>
      </c>
      <c r="G94" s="147"/>
    </row>
    <row r="95" spans="1:7" x14ac:dyDescent="0.3">
      <c r="A95" s="157">
        <v>5059</v>
      </c>
      <c r="B95" s="148">
        <v>41733</v>
      </c>
      <c r="C95" t="s">
        <v>501</v>
      </c>
      <c r="D95" s="165">
        <v>219</v>
      </c>
      <c r="E95" t="s">
        <v>502</v>
      </c>
      <c r="F95" t="s">
        <v>503</v>
      </c>
      <c r="G95" s="147"/>
    </row>
    <row r="96" spans="1:7" x14ac:dyDescent="0.3">
      <c r="A96" s="157">
        <v>5060</v>
      </c>
      <c r="B96" s="148">
        <v>41733</v>
      </c>
      <c r="C96" t="s">
        <v>515</v>
      </c>
      <c r="D96" s="165">
        <v>43.5</v>
      </c>
      <c r="E96" t="s">
        <v>518</v>
      </c>
      <c r="G96" s="147" t="s">
        <v>385</v>
      </c>
    </row>
    <row r="97" spans="1:7" x14ac:dyDescent="0.3">
      <c r="A97" s="157">
        <v>5061</v>
      </c>
      <c r="B97" s="148">
        <v>41733</v>
      </c>
      <c r="C97" t="s">
        <v>519</v>
      </c>
      <c r="D97" s="193">
        <v>43.5</v>
      </c>
      <c r="E97" t="s">
        <v>518</v>
      </c>
      <c r="G97" s="147" t="s">
        <v>385</v>
      </c>
    </row>
    <row r="98" spans="1:7" x14ac:dyDescent="0.3">
      <c r="A98" s="170">
        <v>5062</v>
      </c>
      <c r="B98" s="171">
        <v>41736</v>
      </c>
      <c r="C98" s="158" t="s">
        <v>516</v>
      </c>
      <c r="D98" s="172">
        <v>50</v>
      </c>
      <c r="E98" s="158" t="s">
        <v>520</v>
      </c>
      <c r="F98" s="158" t="s">
        <v>512</v>
      </c>
      <c r="G98" s="173"/>
    </row>
    <row r="99" spans="1:7" x14ac:dyDescent="0.3">
      <c r="A99" s="157">
        <v>5063</v>
      </c>
      <c r="B99" s="148">
        <v>41745</v>
      </c>
      <c r="C99" t="s">
        <v>340</v>
      </c>
      <c r="D99" s="165">
        <v>64.34</v>
      </c>
      <c r="E99" t="s">
        <v>521</v>
      </c>
      <c r="F99" t="s">
        <v>512</v>
      </c>
      <c r="G99" s="147"/>
    </row>
    <row r="100" spans="1:7" x14ac:dyDescent="0.3">
      <c r="A100" s="157">
        <v>5064</v>
      </c>
      <c r="B100" s="148">
        <v>41745</v>
      </c>
      <c r="C100" t="s">
        <v>340</v>
      </c>
      <c r="D100" s="165">
        <v>7805.85</v>
      </c>
      <c r="E100" t="s">
        <v>445</v>
      </c>
      <c r="F100" t="s">
        <v>388</v>
      </c>
      <c r="G100" s="147" t="s">
        <v>385</v>
      </c>
    </row>
    <row r="101" spans="1:7" x14ac:dyDescent="0.3">
      <c r="A101" s="157">
        <v>5065</v>
      </c>
      <c r="B101" s="148">
        <v>41750</v>
      </c>
      <c r="C101" t="s">
        <v>501</v>
      </c>
      <c r="D101" s="166">
        <v>1113.29</v>
      </c>
      <c r="E101" t="s">
        <v>445</v>
      </c>
      <c r="F101" t="s">
        <v>503</v>
      </c>
      <c r="G101" s="147"/>
    </row>
    <row r="102" spans="1:7" x14ac:dyDescent="0.3">
      <c r="A102" s="157">
        <v>5066</v>
      </c>
      <c r="B102" s="148">
        <v>41757</v>
      </c>
      <c r="C102" t="s">
        <v>349</v>
      </c>
      <c r="D102" s="169">
        <v>1448</v>
      </c>
      <c r="E102" t="s">
        <v>445</v>
      </c>
      <c r="F102" t="s">
        <v>523</v>
      </c>
      <c r="G102" s="147" t="s">
        <v>385</v>
      </c>
    </row>
    <row r="103" spans="1:7" x14ac:dyDescent="0.3">
      <c r="A103" s="157">
        <v>5067</v>
      </c>
      <c r="B103" s="148">
        <v>41757</v>
      </c>
      <c r="C103" t="s">
        <v>517</v>
      </c>
      <c r="D103" s="169">
        <v>484.38</v>
      </c>
      <c r="E103" t="s">
        <v>522</v>
      </c>
      <c r="F103" t="s">
        <v>523</v>
      </c>
      <c r="G103" s="147"/>
    </row>
    <row r="104" spans="1:7" x14ac:dyDescent="0.3">
      <c r="A104" s="157">
        <v>5068</v>
      </c>
      <c r="B104" s="148">
        <v>41758</v>
      </c>
      <c r="C104" t="s">
        <v>524</v>
      </c>
      <c r="D104" s="174">
        <v>50</v>
      </c>
      <c r="E104" t="s">
        <v>526</v>
      </c>
      <c r="F104" t="s">
        <v>512</v>
      </c>
      <c r="G104" s="147"/>
    </row>
    <row r="105" spans="1:7" x14ac:dyDescent="0.3">
      <c r="A105" s="157">
        <v>5069</v>
      </c>
      <c r="B105" s="148">
        <v>41761</v>
      </c>
      <c r="C105" t="s">
        <v>524</v>
      </c>
      <c r="D105" s="174">
        <v>50</v>
      </c>
      <c r="E105" t="s">
        <v>525</v>
      </c>
      <c r="F105" t="s">
        <v>512</v>
      </c>
      <c r="G105" s="147"/>
    </row>
    <row r="106" spans="1:7" x14ac:dyDescent="0.3">
      <c r="A106" s="157">
        <v>5070</v>
      </c>
      <c r="B106" s="148">
        <v>41761</v>
      </c>
      <c r="C106" t="s">
        <v>527</v>
      </c>
      <c r="D106" s="167">
        <v>11000</v>
      </c>
      <c r="E106" t="s">
        <v>531</v>
      </c>
      <c r="G106" s="147" t="s">
        <v>385</v>
      </c>
    </row>
    <row r="107" spans="1:7" x14ac:dyDescent="0.3">
      <c r="A107" s="157">
        <v>5071</v>
      </c>
      <c r="B107" s="148">
        <v>41765</v>
      </c>
      <c r="C107" t="s">
        <v>529</v>
      </c>
      <c r="D107" s="174">
        <v>43.5</v>
      </c>
      <c r="E107" t="s">
        <v>518</v>
      </c>
      <c r="G107" s="147" t="s">
        <v>385</v>
      </c>
    </row>
    <row r="108" spans="1:7" x14ac:dyDescent="0.3">
      <c r="A108" s="157">
        <v>5072</v>
      </c>
      <c r="B108" s="148">
        <v>41765</v>
      </c>
      <c r="C108" t="s">
        <v>528</v>
      </c>
      <c r="D108" s="168">
        <v>101.23</v>
      </c>
      <c r="E108" t="s">
        <v>522</v>
      </c>
      <c r="F108" t="s">
        <v>530</v>
      </c>
      <c r="G108" s="147"/>
    </row>
    <row r="109" spans="1:7" x14ac:dyDescent="0.3">
      <c r="A109" s="157">
        <v>5073</v>
      </c>
      <c r="B109" s="148">
        <v>41765</v>
      </c>
      <c r="C109" t="s">
        <v>517</v>
      </c>
      <c r="D109" s="169">
        <v>71.930000000000007</v>
      </c>
      <c r="E109" t="s">
        <v>522</v>
      </c>
      <c r="F109" t="s">
        <v>530</v>
      </c>
      <c r="G109" s="147"/>
    </row>
    <row r="110" spans="1:7" x14ac:dyDescent="0.3">
      <c r="A110" s="157">
        <v>5074</v>
      </c>
      <c r="B110" s="148">
        <v>41771</v>
      </c>
      <c r="C110" t="s">
        <v>532</v>
      </c>
      <c r="D110" s="169">
        <v>415</v>
      </c>
      <c r="E110" t="s">
        <v>533</v>
      </c>
      <c r="F110" t="s">
        <v>534</v>
      </c>
      <c r="G110" s="147" t="s">
        <v>385</v>
      </c>
    </row>
    <row r="111" spans="1:7" x14ac:dyDescent="0.3">
      <c r="A111" s="157">
        <v>5075</v>
      </c>
      <c r="B111" s="148">
        <v>41772</v>
      </c>
      <c r="C111" t="s">
        <v>536</v>
      </c>
      <c r="D111" s="168">
        <v>340.62</v>
      </c>
      <c r="E111" t="s">
        <v>543</v>
      </c>
      <c r="F111" t="s">
        <v>540</v>
      </c>
      <c r="G111" s="147"/>
    </row>
    <row r="112" spans="1:7" x14ac:dyDescent="0.3">
      <c r="A112" s="157">
        <v>5076</v>
      </c>
      <c r="B112" s="148">
        <v>41772</v>
      </c>
      <c r="C112" t="s">
        <v>528</v>
      </c>
      <c r="D112" s="168">
        <v>101.23</v>
      </c>
      <c r="E112" t="s">
        <v>522</v>
      </c>
      <c r="F112" t="s">
        <v>530</v>
      </c>
      <c r="G112" s="147"/>
    </row>
    <row r="113" spans="1:7" x14ac:dyDescent="0.3">
      <c r="A113" s="157">
        <v>5077</v>
      </c>
      <c r="B113" s="148">
        <v>41774</v>
      </c>
      <c r="C113" t="s">
        <v>537</v>
      </c>
      <c r="D113" s="169">
        <v>39.15</v>
      </c>
      <c r="E113" t="s">
        <v>542</v>
      </c>
      <c r="F113" t="s">
        <v>503</v>
      </c>
      <c r="G113" s="147"/>
    </row>
    <row r="114" spans="1:7" x14ac:dyDescent="0.3">
      <c r="A114" s="157">
        <v>5078</v>
      </c>
      <c r="B114" s="148">
        <v>41774</v>
      </c>
      <c r="C114" t="s">
        <v>538</v>
      </c>
      <c r="D114" s="169">
        <v>305.32</v>
      </c>
      <c r="E114" t="s">
        <v>541</v>
      </c>
      <c r="F114" t="s">
        <v>503</v>
      </c>
      <c r="G114" s="147"/>
    </row>
    <row r="115" spans="1:7" x14ac:dyDescent="0.3">
      <c r="A115" s="157">
        <v>5079</v>
      </c>
      <c r="B115" s="148">
        <v>41774</v>
      </c>
      <c r="C115" t="s">
        <v>353</v>
      </c>
      <c r="D115" s="169">
        <v>2950</v>
      </c>
      <c r="E115" t="s">
        <v>539</v>
      </c>
      <c r="G115" s="147" t="s">
        <v>385</v>
      </c>
    </row>
    <row r="116" spans="1:7" x14ac:dyDescent="0.3">
      <c r="A116" s="157">
        <v>5080</v>
      </c>
      <c r="B116" s="148">
        <v>41786</v>
      </c>
      <c r="C116" t="s">
        <v>477</v>
      </c>
      <c r="D116" s="169">
        <v>500</v>
      </c>
      <c r="E116" t="s">
        <v>548</v>
      </c>
      <c r="F116" t="s">
        <v>549</v>
      </c>
      <c r="G116" s="147"/>
    </row>
    <row r="117" spans="1:7" x14ac:dyDescent="0.3">
      <c r="A117" s="157">
        <v>5081</v>
      </c>
      <c r="B117" s="148">
        <v>41788</v>
      </c>
      <c r="C117" t="s">
        <v>544</v>
      </c>
      <c r="D117" s="169">
        <v>550</v>
      </c>
      <c r="E117" t="s">
        <v>550</v>
      </c>
      <c r="F117" t="s">
        <v>549</v>
      </c>
      <c r="G117" s="147"/>
    </row>
    <row r="118" spans="1:7" x14ac:dyDescent="0.3">
      <c r="A118" s="157">
        <v>5082</v>
      </c>
      <c r="B118" s="148">
        <v>41796</v>
      </c>
      <c r="C118" t="s">
        <v>545</v>
      </c>
      <c r="D118" s="174">
        <v>2592</v>
      </c>
      <c r="E118" t="s">
        <v>551</v>
      </c>
      <c r="F118" t="s">
        <v>552</v>
      </c>
      <c r="G118" s="147"/>
    </row>
    <row r="119" spans="1:7" x14ac:dyDescent="0.3">
      <c r="A119" s="157">
        <v>5083</v>
      </c>
      <c r="B119" s="148">
        <v>41796</v>
      </c>
      <c r="C119" t="s">
        <v>349</v>
      </c>
      <c r="D119" s="174">
        <v>1200</v>
      </c>
      <c r="E119" t="s">
        <v>553</v>
      </c>
      <c r="F119" t="s">
        <v>456</v>
      </c>
      <c r="G119" s="147"/>
    </row>
    <row r="120" spans="1:7" x14ac:dyDescent="0.3">
      <c r="A120" s="157">
        <v>5084</v>
      </c>
      <c r="B120" s="148">
        <v>41796</v>
      </c>
      <c r="C120" t="s">
        <v>544</v>
      </c>
      <c r="D120" s="174">
        <v>572.85</v>
      </c>
      <c r="E120" t="s">
        <v>550</v>
      </c>
      <c r="F120" t="s">
        <v>549</v>
      </c>
      <c r="G120" s="147"/>
    </row>
    <row r="121" spans="1:7" x14ac:dyDescent="0.3">
      <c r="A121" s="157">
        <v>5085</v>
      </c>
      <c r="B121" s="148">
        <v>41796</v>
      </c>
      <c r="C121" t="s">
        <v>546</v>
      </c>
      <c r="D121" s="174">
        <v>4231</v>
      </c>
      <c r="E121" t="s">
        <v>547</v>
      </c>
      <c r="G121" s="147" t="s">
        <v>385</v>
      </c>
    </row>
    <row r="122" spans="1:7" x14ac:dyDescent="0.3">
      <c r="A122" s="157">
        <v>5086</v>
      </c>
      <c r="B122" s="148">
        <v>41800</v>
      </c>
      <c r="C122" t="s">
        <v>349</v>
      </c>
      <c r="D122" s="174">
        <v>2000</v>
      </c>
      <c r="E122" t="s">
        <v>533</v>
      </c>
      <c r="F122" t="s">
        <v>561</v>
      </c>
      <c r="G122" s="147"/>
    </row>
    <row r="123" spans="1:7" x14ac:dyDescent="0.3">
      <c r="A123" s="157">
        <v>5087</v>
      </c>
      <c r="B123" s="148">
        <v>41800</v>
      </c>
      <c r="C123" t="s">
        <v>349</v>
      </c>
      <c r="D123" s="174">
        <v>5400</v>
      </c>
      <c r="E123" t="s">
        <v>541</v>
      </c>
      <c r="F123" t="s">
        <v>562</v>
      </c>
      <c r="G123" s="147"/>
    </row>
    <row r="124" spans="1:7" x14ac:dyDescent="0.3">
      <c r="A124" s="157">
        <v>5088</v>
      </c>
      <c r="B124" s="148">
        <v>41800</v>
      </c>
      <c r="C124" t="s">
        <v>557</v>
      </c>
      <c r="D124" s="174">
        <v>2000</v>
      </c>
      <c r="E124" t="s">
        <v>541</v>
      </c>
      <c r="F124" t="s">
        <v>563</v>
      </c>
      <c r="G124" s="147"/>
    </row>
    <row r="125" spans="1:7" x14ac:dyDescent="0.3">
      <c r="A125" s="157">
        <v>5089</v>
      </c>
      <c r="B125" s="148">
        <v>41800</v>
      </c>
      <c r="C125" t="s">
        <v>558</v>
      </c>
      <c r="D125" s="174">
        <v>291.2</v>
      </c>
      <c r="E125" t="s">
        <v>560</v>
      </c>
      <c r="F125" t="s">
        <v>382</v>
      </c>
      <c r="G125" s="147"/>
    </row>
    <row r="126" spans="1:7" x14ac:dyDescent="0.3">
      <c r="A126" s="157">
        <v>5090</v>
      </c>
      <c r="B126" s="148">
        <v>41800</v>
      </c>
      <c r="C126" t="s">
        <v>477</v>
      </c>
      <c r="D126" s="174">
        <v>1561.01</v>
      </c>
      <c r="E126" t="s">
        <v>403</v>
      </c>
      <c r="F126" t="s">
        <v>382</v>
      </c>
      <c r="G126" s="147"/>
    </row>
    <row r="127" spans="1:7" x14ac:dyDescent="0.3">
      <c r="A127" s="157">
        <v>5091</v>
      </c>
      <c r="B127" s="148">
        <v>41800</v>
      </c>
      <c r="C127" t="s">
        <v>559</v>
      </c>
      <c r="D127" s="174">
        <v>154.34</v>
      </c>
      <c r="E127" t="s">
        <v>361</v>
      </c>
      <c r="G127" s="147" t="s">
        <v>385</v>
      </c>
    </row>
    <row r="128" spans="1:7" x14ac:dyDescent="0.3">
      <c r="A128" s="157">
        <v>5092</v>
      </c>
      <c r="B128" s="148">
        <v>41848</v>
      </c>
      <c r="C128" t="s">
        <v>566</v>
      </c>
      <c r="D128" s="174">
        <v>43.5</v>
      </c>
      <c r="E128" t="s">
        <v>518</v>
      </c>
      <c r="G128" s="147" t="s">
        <v>385</v>
      </c>
    </row>
    <row r="129" spans="1:7" x14ac:dyDescent="0.3">
      <c r="A129" s="157">
        <v>5093</v>
      </c>
      <c r="B129" s="148">
        <v>41851</v>
      </c>
      <c r="C129" t="s">
        <v>567</v>
      </c>
      <c r="D129" s="174">
        <v>2325.75</v>
      </c>
      <c r="E129" t="s">
        <v>445</v>
      </c>
      <c r="F129" t="s">
        <v>507</v>
      </c>
      <c r="G129" s="147"/>
    </row>
    <row r="130" spans="1:7" x14ac:dyDescent="0.3">
      <c r="A130" s="157">
        <v>5094</v>
      </c>
      <c r="B130" s="148">
        <v>41851</v>
      </c>
      <c r="C130" t="s">
        <v>451</v>
      </c>
      <c r="D130" s="174">
        <v>1504.38</v>
      </c>
      <c r="E130" t="s">
        <v>568</v>
      </c>
      <c r="G130" s="147" t="s">
        <v>385</v>
      </c>
    </row>
    <row r="131" spans="1:7" x14ac:dyDescent="0.3">
      <c r="A131" s="157">
        <v>5095</v>
      </c>
      <c r="B131" s="148">
        <v>41852</v>
      </c>
      <c r="C131" t="s">
        <v>569</v>
      </c>
      <c r="D131" s="174">
        <v>43.5</v>
      </c>
      <c r="E131" t="s">
        <v>518</v>
      </c>
      <c r="G131" s="147" t="s">
        <v>385</v>
      </c>
    </row>
    <row r="132" spans="1:7" x14ac:dyDescent="0.3">
      <c r="A132" s="157">
        <v>5096</v>
      </c>
      <c r="B132" s="148">
        <v>41859</v>
      </c>
      <c r="C132" t="s">
        <v>591</v>
      </c>
      <c r="D132" s="174">
        <v>214.8</v>
      </c>
      <c r="E132" t="s">
        <v>459</v>
      </c>
      <c r="F132" t="s">
        <v>382</v>
      </c>
      <c r="G132" s="147"/>
    </row>
    <row r="133" spans="1:7" x14ac:dyDescent="0.3">
      <c r="A133" s="157">
        <v>5097</v>
      </c>
      <c r="B133" s="148">
        <v>41859</v>
      </c>
      <c r="C133" t="s">
        <v>566</v>
      </c>
      <c r="D133" s="174">
        <v>25</v>
      </c>
      <c r="E133" t="s">
        <v>459</v>
      </c>
      <c r="F133" t="s">
        <v>382</v>
      </c>
      <c r="G133" s="147"/>
    </row>
    <row r="134" spans="1:7" x14ac:dyDescent="0.3">
      <c r="A134" s="157">
        <v>5098</v>
      </c>
      <c r="B134" s="148">
        <v>41871</v>
      </c>
      <c r="C134" t="s">
        <v>571</v>
      </c>
      <c r="D134" s="175" t="s">
        <v>571</v>
      </c>
      <c r="G134" s="147"/>
    </row>
    <row r="135" spans="1:7" x14ac:dyDescent="0.3">
      <c r="A135" s="157">
        <v>5099</v>
      </c>
      <c r="B135" s="148">
        <v>41871</v>
      </c>
      <c r="C135" t="s">
        <v>572</v>
      </c>
      <c r="D135" s="183">
        <v>119</v>
      </c>
      <c r="E135" t="s">
        <v>573</v>
      </c>
      <c r="F135" t="s">
        <v>382</v>
      </c>
      <c r="G135" s="147"/>
    </row>
    <row r="136" spans="1:7" x14ac:dyDescent="0.3">
      <c r="A136" s="157">
        <v>5100</v>
      </c>
      <c r="B136" s="148">
        <v>41878</v>
      </c>
      <c r="C136" t="s">
        <v>574</v>
      </c>
      <c r="D136" s="176">
        <v>76</v>
      </c>
      <c r="E136" t="s">
        <v>575</v>
      </c>
      <c r="G136" s="147" t="s">
        <v>385</v>
      </c>
    </row>
    <row r="137" spans="1:7" x14ac:dyDescent="0.3">
      <c r="A137" s="157">
        <v>5101</v>
      </c>
      <c r="B137" s="148">
        <v>41878</v>
      </c>
      <c r="C137" t="s">
        <v>577</v>
      </c>
      <c r="D137" s="177">
        <v>160</v>
      </c>
      <c r="E137" t="s">
        <v>576</v>
      </c>
      <c r="F137" t="s">
        <v>552</v>
      </c>
      <c r="G137" s="147"/>
    </row>
    <row r="138" spans="1:7" x14ac:dyDescent="0.3">
      <c r="A138" s="157">
        <v>5102</v>
      </c>
      <c r="B138" s="148">
        <v>41885</v>
      </c>
      <c r="C138" t="s">
        <v>451</v>
      </c>
      <c r="D138" s="177">
        <v>46.28</v>
      </c>
      <c r="E138" t="s">
        <v>578</v>
      </c>
      <c r="G138" s="147" t="s">
        <v>385</v>
      </c>
    </row>
    <row r="139" spans="1:7" x14ac:dyDescent="0.3">
      <c r="A139" s="157">
        <v>5103</v>
      </c>
      <c r="B139" s="148">
        <v>41898</v>
      </c>
      <c r="C139" t="s">
        <v>591</v>
      </c>
      <c r="D139" s="177">
        <v>404.55</v>
      </c>
      <c r="E139" t="s">
        <v>579</v>
      </c>
      <c r="F139" t="s">
        <v>382</v>
      </c>
      <c r="G139" s="147"/>
    </row>
    <row r="140" spans="1:7" x14ac:dyDescent="0.3">
      <c r="A140" s="157">
        <v>5104</v>
      </c>
      <c r="B140" s="148">
        <v>41898</v>
      </c>
      <c r="C140" t="s">
        <v>580</v>
      </c>
      <c r="D140" s="177">
        <v>118.04</v>
      </c>
      <c r="E140" t="s">
        <v>581</v>
      </c>
      <c r="F140" t="s">
        <v>523</v>
      </c>
      <c r="G140" s="147"/>
    </row>
    <row r="141" spans="1:7" x14ac:dyDescent="0.3">
      <c r="A141" s="157">
        <v>5105</v>
      </c>
      <c r="B141" s="148">
        <v>41898</v>
      </c>
      <c r="C141" t="s">
        <v>339</v>
      </c>
      <c r="D141" s="177">
        <v>2395.3200000000002</v>
      </c>
      <c r="E141" t="s">
        <v>582</v>
      </c>
      <c r="F141" t="s">
        <v>382</v>
      </c>
      <c r="G141" s="147"/>
    </row>
    <row r="142" spans="1:7" x14ac:dyDescent="0.3">
      <c r="A142" s="157">
        <v>5106</v>
      </c>
      <c r="B142" s="148">
        <v>41898</v>
      </c>
      <c r="C142" t="s">
        <v>583</v>
      </c>
      <c r="D142" s="177">
        <v>2340</v>
      </c>
      <c r="E142" t="s">
        <v>584</v>
      </c>
      <c r="F142" t="s">
        <v>412</v>
      </c>
      <c r="G142" s="147"/>
    </row>
    <row r="143" spans="1:7" x14ac:dyDescent="0.3">
      <c r="A143" s="157">
        <v>5107</v>
      </c>
      <c r="B143" s="148">
        <v>41898</v>
      </c>
      <c r="C143" t="s">
        <v>338</v>
      </c>
      <c r="D143" s="178">
        <v>1400</v>
      </c>
      <c r="E143" t="s">
        <v>585</v>
      </c>
      <c r="F143" t="s">
        <v>382</v>
      </c>
      <c r="G143" s="147"/>
    </row>
    <row r="144" spans="1:7" x14ac:dyDescent="0.3">
      <c r="A144" s="157">
        <v>5108</v>
      </c>
      <c r="B144" s="148">
        <v>41898</v>
      </c>
      <c r="C144" t="s">
        <v>501</v>
      </c>
      <c r="D144" s="178">
        <v>3806.22</v>
      </c>
      <c r="E144" t="s">
        <v>586</v>
      </c>
      <c r="F144" t="s">
        <v>384</v>
      </c>
      <c r="G144" s="147" t="s">
        <v>385</v>
      </c>
    </row>
    <row r="145" spans="1:7" x14ac:dyDescent="0.3">
      <c r="A145" s="157">
        <v>5109</v>
      </c>
      <c r="B145" s="148">
        <v>41899</v>
      </c>
      <c r="C145" t="s">
        <v>339</v>
      </c>
      <c r="D145" s="177">
        <v>1164.75</v>
      </c>
      <c r="E145" t="s">
        <v>378</v>
      </c>
      <c r="F145" t="s">
        <v>588</v>
      </c>
      <c r="G145" s="147" t="s">
        <v>385</v>
      </c>
    </row>
    <row r="146" spans="1:7" x14ac:dyDescent="0.3">
      <c r="A146" s="157">
        <v>5110</v>
      </c>
      <c r="B146" s="148">
        <v>41899</v>
      </c>
      <c r="C146" t="s">
        <v>340</v>
      </c>
      <c r="D146" s="177">
        <v>289.52</v>
      </c>
      <c r="E146" t="s">
        <v>587</v>
      </c>
      <c r="F146" t="s">
        <v>588</v>
      </c>
      <c r="G146" s="147" t="s">
        <v>385</v>
      </c>
    </row>
    <row r="147" spans="1:7" x14ac:dyDescent="0.3">
      <c r="A147" s="157">
        <v>5111</v>
      </c>
      <c r="B147" s="148">
        <v>41904</v>
      </c>
      <c r="C147" t="s">
        <v>341</v>
      </c>
      <c r="D147" s="177">
        <v>1064.3399999999999</v>
      </c>
      <c r="E147" t="s">
        <v>367</v>
      </c>
      <c r="F147" t="s">
        <v>382</v>
      </c>
      <c r="G147" s="147"/>
    </row>
    <row r="148" spans="1:7" x14ac:dyDescent="0.3">
      <c r="A148" s="157">
        <v>5112</v>
      </c>
      <c r="B148" s="148">
        <v>41905</v>
      </c>
      <c r="C148" t="s">
        <v>589</v>
      </c>
      <c r="D148" s="193">
        <v>43.5</v>
      </c>
      <c r="E148" t="s">
        <v>518</v>
      </c>
      <c r="G148" s="147" t="s">
        <v>385</v>
      </c>
    </row>
    <row r="149" spans="1:7" x14ac:dyDescent="0.3">
      <c r="A149" s="157">
        <v>5113</v>
      </c>
      <c r="B149" s="148">
        <v>41907</v>
      </c>
      <c r="C149" t="s">
        <v>590</v>
      </c>
      <c r="D149" s="177">
        <v>868.84</v>
      </c>
      <c r="E149" t="s">
        <v>403</v>
      </c>
      <c r="F149" t="s">
        <v>381</v>
      </c>
      <c r="G149" s="147"/>
    </row>
    <row r="150" spans="1:7" x14ac:dyDescent="0.3">
      <c r="A150" s="157">
        <v>5114</v>
      </c>
      <c r="B150" s="148">
        <v>41911</v>
      </c>
      <c r="C150" t="s">
        <v>591</v>
      </c>
      <c r="D150" s="177">
        <v>283.22000000000003</v>
      </c>
      <c r="E150" t="s">
        <v>592</v>
      </c>
      <c r="F150" t="s">
        <v>382</v>
      </c>
      <c r="G150" s="147"/>
    </row>
    <row r="151" spans="1:7" x14ac:dyDescent="0.3">
      <c r="A151" s="157">
        <v>5115</v>
      </c>
      <c r="B151" s="148">
        <v>41911</v>
      </c>
      <c r="C151" t="s">
        <v>353</v>
      </c>
      <c r="D151" s="180">
        <v>3000</v>
      </c>
      <c r="E151" t="s">
        <v>531</v>
      </c>
      <c r="G151" s="147" t="s">
        <v>385</v>
      </c>
    </row>
    <row r="152" spans="1:7" x14ac:dyDescent="0.3">
      <c r="A152" s="157">
        <v>5116</v>
      </c>
      <c r="B152" s="148">
        <v>41911</v>
      </c>
      <c r="C152" t="s">
        <v>593</v>
      </c>
      <c r="D152" s="178">
        <v>43.5</v>
      </c>
      <c r="E152" t="s">
        <v>518</v>
      </c>
      <c r="G152" s="147" t="s">
        <v>385</v>
      </c>
    </row>
    <row r="153" spans="1:7" x14ac:dyDescent="0.3">
      <c r="A153" s="157">
        <v>5117</v>
      </c>
      <c r="B153" s="148">
        <v>41911</v>
      </c>
      <c r="C153" t="s">
        <v>594</v>
      </c>
      <c r="D153" s="178">
        <v>86.52</v>
      </c>
      <c r="E153" t="s">
        <v>575</v>
      </c>
      <c r="G153" s="147" t="s">
        <v>385</v>
      </c>
    </row>
    <row r="154" spans="1:7" x14ac:dyDescent="0.3">
      <c r="A154" s="157">
        <v>5118</v>
      </c>
      <c r="B154" s="148">
        <v>41912</v>
      </c>
      <c r="C154" t="s">
        <v>595</v>
      </c>
      <c r="D154" s="178">
        <v>717.94</v>
      </c>
      <c r="E154" t="s">
        <v>596</v>
      </c>
      <c r="F154" t="s">
        <v>382</v>
      </c>
      <c r="G154" s="147"/>
    </row>
    <row r="155" spans="1:7" x14ac:dyDescent="0.3">
      <c r="A155" s="157">
        <v>5119</v>
      </c>
      <c r="B155" s="148">
        <v>41914</v>
      </c>
      <c r="C155" t="s">
        <v>350</v>
      </c>
      <c r="D155" s="178">
        <v>1000</v>
      </c>
      <c r="E155" t="s">
        <v>597</v>
      </c>
      <c r="F155" t="s">
        <v>382</v>
      </c>
      <c r="G155" s="147"/>
    </row>
    <row r="156" spans="1:7" x14ac:dyDescent="0.3">
      <c r="A156" s="157">
        <v>5120</v>
      </c>
      <c r="B156" s="148">
        <v>41918</v>
      </c>
      <c r="C156" t="s">
        <v>600</v>
      </c>
      <c r="D156" s="178">
        <v>213.15</v>
      </c>
      <c r="E156" t="s">
        <v>607</v>
      </c>
      <c r="F156" t="s">
        <v>384</v>
      </c>
      <c r="G156" s="147"/>
    </row>
    <row r="157" spans="1:7" x14ac:dyDescent="0.3">
      <c r="A157" s="157">
        <v>5121</v>
      </c>
      <c r="B157" s="148">
        <v>41918</v>
      </c>
      <c r="C157" t="s">
        <v>601</v>
      </c>
      <c r="D157" s="178">
        <v>1700</v>
      </c>
      <c r="E157" t="s">
        <v>608</v>
      </c>
      <c r="F157" t="s">
        <v>446</v>
      </c>
      <c r="G157" s="147" t="s">
        <v>385</v>
      </c>
    </row>
    <row r="158" spans="1:7" x14ac:dyDescent="0.3">
      <c r="A158" s="157">
        <v>5122</v>
      </c>
      <c r="B158" s="148">
        <v>41922</v>
      </c>
      <c r="C158" t="s">
        <v>602</v>
      </c>
      <c r="D158" s="178">
        <v>251.98</v>
      </c>
      <c r="E158" t="s">
        <v>609</v>
      </c>
      <c r="F158" t="s">
        <v>384</v>
      </c>
      <c r="G158" s="147"/>
    </row>
    <row r="159" spans="1:7" x14ac:dyDescent="0.3">
      <c r="A159" s="157">
        <v>5123</v>
      </c>
      <c r="B159" s="148">
        <v>41922</v>
      </c>
      <c r="C159" t="s">
        <v>344</v>
      </c>
      <c r="D159" s="178">
        <v>213.53</v>
      </c>
      <c r="E159" t="s">
        <v>376</v>
      </c>
      <c r="F159" t="s">
        <v>382</v>
      </c>
      <c r="G159" s="147"/>
    </row>
    <row r="160" spans="1:7" x14ac:dyDescent="0.3">
      <c r="A160" s="157">
        <v>5124</v>
      </c>
      <c r="B160" s="148">
        <v>41922</v>
      </c>
      <c r="C160" t="s">
        <v>343</v>
      </c>
      <c r="D160" s="178">
        <v>315.5</v>
      </c>
      <c r="E160" t="s">
        <v>610</v>
      </c>
      <c r="F160" t="s">
        <v>382</v>
      </c>
      <c r="G160" s="147"/>
    </row>
    <row r="161" spans="1:7" x14ac:dyDescent="0.3">
      <c r="A161" s="157">
        <v>5125</v>
      </c>
      <c r="B161" s="148">
        <v>41922</v>
      </c>
      <c r="C161" t="s">
        <v>431</v>
      </c>
      <c r="D161" s="178">
        <v>1540</v>
      </c>
      <c r="E161" t="s">
        <v>611</v>
      </c>
      <c r="G161" s="147" t="s">
        <v>385</v>
      </c>
    </row>
    <row r="162" spans="1:7" x14ac:dyDescent="0.3">
      <c r="A162" s="157">
        <v>5126</v>
      </c>
      <c r="B162" s="148">
        <v>41926</v>
      </c>
      <c r="C162" t="s">
        <v>339</v>
      </c>
      <c r="D162" s="178">
        <v>1562.57</v>
      </c>
      <c r="E162" t="s">
        <v>612</v>
      </c>
      <c r="F162" t="s">
        <v>456</v>
      </c>
      <c r="G162" s="147" t="s">
        <v>385</v>
      </c>
    </row>
    <row r="163" spans="1:7" x14ac:dyDescent="0.3">
      <c r="A163" s="157">
        <v>5127</v>
      </c>
      <c r="B163" s="148">
        <v>41926</v>
      </c>
      <c r="C163" t="s">
        <v>339</v>
      </c>
      <c r="D163" s="178">
        <v>3695.63</v>
      </c>
      <c r="E163" t="s">
        <v>445</v>
      </c>
      <c r="F163" t="s">
        <v>552</v>
      </c>
      <c r="G163" s="147" t="s">
        <v>385</v>
      </c>
    </row>
    <row r="164" spans="1:7" x14ac:dyDescent="0.3">
      <c r="A164" s="157">
        <v>5128</v>
      </c>
      <c r="B164" s="148">
        <v>41927</v>
      </c>
      <c r="C164" t="s">
        <v>449</v>
      </c>
      <c r="D164" s="180">
        <v>2709.37</v>
      </c>
      <c r="E164" t="s">
        <v>613</v>
      </c>
      <c r="G164" s="147" t="s">
        <v>385</v>
      </c>
    </row>
    <row r="165" spans="1:7" x14ac:dyDescent="0.3">
      <c r="A165" s="157">
        <v>5129</v>
      </c>
      <c r="B165" s="148">
        <v>41939</v>
      </c>
      <c r="C165" t="s">
        <v>600</v>
      </c>
      <c r="D165" s="180">
        <v>106.59</v>
      </c>
      <c r="E165" t="s">
        <v>445</v>
      </c>
      <c r="F165" t="s">
        <v>384</v>
      </c>
      <c r="G165" s="147"/>
    </row>
    <row r="166" spans="1:7" x14ac:dyDescent="0.3">
      <c r="A166" s="157">
        <v>5130</v>
      </c>
      <c r="B166" s="148">
        <v>41939</v>
      </c>
      <c r="C166" t="s">
        <v>443</v>
      </c>
      <c r="D166" s="178">
        <v>182.87</v>
      </c>
      <c r="E166" t="s">
        <v>614</v>
      </c>
      <c r="G166" s="147" t="s">
        <v>385</v>
      </c>
    </row>
    <row r="167" spans="1:7" x14ac:dyDescent="0.3">
      <c r="A167" s="157">
        <v>5131</v>
      </c>
      <c r="B167" s="148">
        <v>41939</v>
      </c>
      <c r="C167" t="s">
        <v>603</v>
      </c>
      <c r="D167" s="178">
        <v>99.69</v>
      </c>
      <c r="E167" t="s">
        <v>445</v>
      </c>
      <c r="F167" t="s">
        <v>412</v>
      </c>
      <c r="G167" s="147"/>
    </row>
    <row r="168" spans="1:7" x14ac:dyDescent="0.3">
      <c r="A168" s="157">
        <v>5132</v>
      </c>
      <c r="B168" s="148">
        <v>41939</v>
      </c>
      <c r="C168" t="s">
        <v>356</v>
      </c>
      <c r="D168" s="181" t="s">
        <v>571</v>
      </c>
      <c r="E168" t="s">
        <v>571</v>
      </c>
      <c r="G168" s="147"/>
    </row>
    <row r="169" spans="1:7" x14ac:dyDescent="0.3">
      <c r="A169" s="157">
        <v>5133</v>
      </c>
      <c r="B169" s="148">
        <v>41941</v>
      </c>
      <c r="C169" t="s">
        <v>604</v>
      </c>
      <c r="D169" s="193">
        <v>30.55</v>
      </c>
      <c r="E169" t="s">
        <v>616</v>
      </c>
      <c r="F169" t="s">
        <v>615</v>
      </c>
      <c r="G169" s="147"/>
    </row>
    <row r="170" spans="1:7" x14ac:dyDescent="0.3">
      <c r="A170" s="157">
        <v>5134</v>
      </c>
      <c r="B170" s="148">
        <v>41941</v>
      </c>
      <c r="C170" t="s">
        <v>339</v>
      </c>
      <c r="D170" s="180">
        <v>297.83999999999997</v>
      </c>
      <c r="E170" t="s">
        <v>617</v>
      </c>
      <c r="F170" t="s">
        <v>382</v>
      </c>
      <c r="G170" s="147"/>
    </row>
    <row r="171" spans="1:7" x14ac:dyDescent="0.3">
      <c r="A171" s="157">
        <v>5135</v>
      </c>
      <c r="B171" s="148">
        <v>41941</v>
      </c>
      <c r="C171" t="s">
        <v>339</v>
      </c>
      <c r="D171" s="180">
        <v>1438.71</v>
      </c>
      <c r="E171" t="s">
        <v>445</v>
      </c>
      <c r="F171" t="s">
        <v>412</v>
      </c>
      <c r="G171" s="147" t="s">
        <v>385</v>
      </c>
    </row>
    <row r="172" spans="1:7" x14ac:dyDescent="0.3">
      <c r="A172" s="157">
        <v>5136</v>
      </c>
      <c r="B172" s="148">
        <v>41942</v>
      </c>
      <c r="C172" t="s">
        <v>605</v>
      </c>
      <c r="D172" s="178">
        <v>4052.39</v>
      </c>
      <c r="E172" t="s">
        <v>606</v>
      </c>
      <c r="G172" s="147" t="s">
        <v>385</v>
      </c>
    </row>
    <row r="173" spans="1:7" x14ac:dyDescent="0.3">
      <c r="A173" s="157">
        <v>5137</v>
      </c>
      <c r="B173" s="148">
        <v>41954</v>
      </c>
      <c r="C173" t="s">
        <v>345</v>
      </c>
      <c r="D173" s="182">
        <v>1994.27</v>
      </c>
      <c r="E173" t="s">
        <v>445</v>
      </c>
      <c r="F173" t="s">
        <v>381</v>
      </c>
      <c r="G173" s="147" t="s">
        <v>385</v>
      </c>
    </row>
    <row r="174" spans="1:7" x14ac:dyDescent="0.3">
      <c r="A174" s="157">
        <v>5138</v>
      </c>
      <c r="B174" s="148">
        <v>41955</v>
      </c>
      <c r="C174" t="s">
        <v>620</v>
      </c>
      <c r="D174" s="182">
        <v>643.5</v>
      </c>
      <c r="E174" t="s">
        <v>625</v>
      </c>
      <c r="F174" t="s">
        <v>382</v>
      </c>
      <c r="G174" s="147"/>
    </row>
    <row r="175" spans="1:7" x14ac:dyDescent="0.3">
      <c r="A175" s="157">
        <v>5139</v>
      </c>
      <c r="B175" s="148">
        <v>41956</v>
      </c>
      <c r="C175" t="s">
        <v>621</v>
      </c>
      <c r="D175" s="182">
        <v>372.44</v>
      </c>
      <c r="E175" t="s">
        <v>626</v>
      </c>
      <c r="F175" t="s">
        <v>412</v>
      </c>
      <c r="G175" s="147"/>
    </row>
    <row r="176" spans="1:7" x14ac:dyDescent="0.3">
      <c r="A176" s="157">
        <v>5140</v>
      </c>
      <c r="B176" s="148">
        <v>41956</v>
      </c>
      <c r="C176" t="s">
        <v>426</v>
      </c>
      <c r="D176" s="182">
        <v>52.39</v>
      </c>
      <c r="E176" t="s">
        <v>626</v>
      </c>
      <c r="F176" t="s">
        <v>412</v>
      </c>
      <c r="G176" s="147"/>
    </row>
    <row r="177" spans="1:7" x14ac:dyDescent="0.3">
      <c r="A177" s="157">
        <v>5141</v>
      </c>
      <c r="B177" s="148">
        <v>41960</v>
      </c>
      <c r="C177" t="s">
        <v>622</v>
      </c>
      <c r="D177" s="182">
        <v>1270</v>
      </c>
      <c r="E177" t="s">
        <v>541</v>
      </c>
      <c r="F177" t="s">
        <v>384</v>
      </c>
      <c r="G177" s="147"/>
    </row>
    <row r="178" spans="1:7" x14ac:dyDescent="0.3">
      <c r="A178" s="157">
        <v>5142</v>
      </c>
      <c r="B178" s="148">
        <v>41960</v>
      </c>
      <c r="C178" t="s">
        <v>623</v>
      </c>
      <c r="D178" s="182">
        <v>500</v>
      </c>
      <c r="E178" t="s">
        <v>441</v>
      </c>
      <c r="G178" s="147" t="s">
        <v>385</v>
      </c>
    </row>
    <row r="179" spans="1:7" x14ac:dyDescent="0.3">
      <c r="A179" s="157">
        <v>5143</v>
      </c>
      <c r="B179" s="148">
        <v>41960</v>
      </c>
      <c r="C179" t="s">
        <v>474</v>
      </c>
      <c r="D179" s="182">
        <v>984.39</v>
      </c>
      <c r="E179" t="s">
        <v>436</v>
      </c>
      <c r="G179" s="147" t="s">
        <v>385</v>
      </c>
    </row>
    <row r="180" spans="1:7" x14ac:dyDescent="0.3">
      <c r="A180" s="157">
        <v>5144</v>
      </c>
      <c r="B180" s="148">
        <v>41960</v>
      </c>
      <c r="C180" t="s">
        <v>339</v>
      </c>
      <c r="D180" s="182">
        <v>74.459999999999994</v>
      </c>
      <c r="E180" t="s">
        <v>624</v>
      </c>
      <c r="F180" t="s">
        <v>382</v>
      </c>
      <c r="G180" s="147"/>
    </row>
    <row r="181" spans="1:7" x14ac:dyDescent="0.3">
      <c r="A181" s="157" t="s">
        <v>420</v>
      </c>
      <c r="B181" s="148">
        <v>41967</v>
      </c>
      <c r="C181" t="s">
        <v>400</v>
      </c>
      <c r="D181" s="182">
        <v>795</v>
      </c>
      <c r="E181" t="s">
        <v>628</v>
      </c>
      <c r="G181" s="147" t="s">
        <v>385</v>
      </c>
    </row>
    <row r="182" spans="1:7" x14ac:dyDescent="0.3">
      <c r="A182" s="157">
        <v>5145</v>
      </c>
      <c r="B182" s="148">
        <v>41971</v>
      </c>
      <c r="C182" t="s">
        <v>492</v>
      </c>
      <c r="D182" s="182">
        <v>249</v>
      </c>
      <c r="E182" t="s">
        <v>630</v>
      </c>
      <c r="F182" t="s">
        <v>447</v>
      </c>
      <c r="G182" s="147"/>
    </row>
    <row r="183" spans="1:7" x14ac:dyDescent="0.3">
      <c r="A183" s="157">
        <v>5146</v>
      </c>
      <c r="B183" s="148">
        <v>41971</v>
      </c>
      <c r="C183" t="s">
        <v>629</v>
      </c>
      <c r="D183" s="182">
        <v>43.5</v>
      </c>
      <c r="E183" t="s">
        <v>518</v>
      </c>
      <c r="G183" s="147" t="s">
        <v>385</v>
      </c>
    </row>
    <row r="184" spans="1:7" x14ac:dyDescent="0.3">
      <c r="A184" s="157">
        <v>5147</v>
      </c>
      <c r="B184" s="148">
        <v>41974</v>
      </c>
      <c r="C184" t="s">
        <v>410</v>
      </c>
      <c r="D184" s="182">
        <v>1011.32</v>
      </c>
      <c r="E184" t="s">
        <v>641</v>
      </c>
      <c r="F184" t="s">
        <v>381</v>
      </c>
      <c r="G184" s="147"/>
    </row>
    <row r="185" spans="1:7" x14ac:dyDescent="0.3">
      <c r="A185" s="157">
        <v>5148</v>
      </c>
      <c r="B185" s="148">
        <v>41974</v>
      </c>
      <c r="C185" t="s">
        <v>407</v>
      </c>
      <c r="D185" s="182">
        <v>1123.8</v>
      </c>
      <c r="E185" t="s">
        <v>408</v>
      </c>
      <c r="F185" t="s">
        <v>381</v>
      </c>
      <c r="G185" s="147"/>
    </row>
    <row r="186" spans="1:7" x14ac:dyDescent="0.3">
      <c r="A186" s="157">
        <v>5149</v>
      </c>
      <c r="B186" s="148">
        <v>41974</v>
      </c>
      <c r="C186" t="s">
        <v>349</v>
      </c>
      <c r="D186" s="182">
        <v>1796.84</v>
      </c>
      <c r="E186" t="s">
        <v>639</v>
      </c>
      <c r="F186" t="s">
        <v>640</v>
      </c>
      <c r="G186" s="147" t="s">
        <v>385</v>
      </c>
    </row>
    <row r="187" spans="1:7" x14ac:dyDescent="0.3">
      <c r="A187" s="157">
        <v>5150</v>
      </c>
      <c r="B187" s="148">
        <v>41975</v>
      </c>
      <c r="C187" t="s">
        <v>349</v>
      </c>
      <c r="D187" s="182">
        <v>26.97</v>
      </c>
      <c r="E187" t="s">
        <v>638</v>
      </c>
      <c r="F187" t="s">
        <v>446</v>
      </c>
      <c r="G187" s="147"/>
    </row>
    <row r="188" spans="1:7" x14ac:dyDescent="0.3">
      <c r="A188" s="157">
        <v>5151</v>
      </c>
      <c r="B188" s="148">
        <v>41975</v>
      </c>
      <c r="C188" t="s">
        <v>340</v>
      </c>
      <c r="D188" s="182">
        <v>1242.83</v>
      </c>
      <c r="E188" t="s">
        <v>636</v>
      </c>
      <c r="G188" s="147" t="s">
        <v>385</v>
      </c>
    </row>
    <row r="189" spans="1:7" x14ac:dyDescent="0.3">
      <c r="A189" s="157">
        <v>5152</v>
      </c>
      <c r="B189" s="148">
        <v>41981</v>
      </c>
      <c r="C189" t="s">
        <v>591</v>
      </c>
      <c r="D189" s="182">
        <v>74.75</v>
      </c>
      <c r="E189" t="s">
        <v>635</v>
      </c>
      <c r="F189" t="s">
        <v>382</v>
      </c>
      <c r="G189" s="147"/>
    </row>
    <row r="190" spans="1:7" x14ac:dyDescent="0.3">
      <c r="A190" s="157">
        <v>5153</v>
      </c>
      <c r="B190" s="148">
        <v>41981</v>
      </c>
      <c r="C190" t="s">
        <v>631</v>
      </c>
      <c r="D190" s="182">
        <v>435.36</v>
      </c>
      <c r="E190" t="s">
        <v>637</v>
      </c>
      <c r="G190" s="147" t="s">
        <v>385</v>
      </c>
    </row>
    <row r="191" spans="1:7" x14ac:dyDescent="0.3">
      <c r="A191" s="157">
        <v>5154</v>
      </c>
      <c r="B191" s="148">
        <v>41982</v>
      </c>
      <c r="C191" t="s">
        <v>632</v>
      </c>
      <c r="D191" s="182">
        <v>665.38</v>
      </c>
      <c r="E191" t="s">
        <v>634</v>
      </c>
      <c r="G191" s="147" t="s">
        <v>385</v>
      </c>
    </row>
    <row r="192" spans="1:7" x14ac:dyDescent="0.3">
      <c r="A192" s="157">
        <v>5155</v>
      </c>
      <c r="B192" s="148">
        <v>41990</v>
      </c>
      <c r="C192" t="s">
        <v>339</v>
      </c>
      <c r="D192" s="182">
        <v>1835.77</v>
      </c>
      <c r="E192" t="s">
        <v>633</v>
      </c>
      <c r="F192" t="s">
        <v>388</v>
      </c>
      <c r="G192" s="147"/>
    </row>
    <row r="193" spans="1:7" x14ac:dyDescent="0.3">
      <c r="A193" s="157">
        <v>5156</v>
      </c>
      <c r="B193" s="148">
        <v>42010</v>
      </c>
      <c r="C193" t="s">
        <v>643</v>
      </c>
      <c r="D193" s="182">
        <v>1333.43</v>
      </c>
      <c r="E193" t="s">
        <v>644</v>
      </c>
      <c r="G193" s="147" t="s">
        <v>385</v>
      </c>
    </row>
    <row r="194" spans="1:7" x14ac:dyDescent="0.3">
      <c r="A194" s="157">
        <v>5157</v>
      </c>
      <c r="B194" s="148">
        <v>74882</v>
      </c>
      <c r="C194" t="s">
        <v>339</v>
      </c>
      <c r="D194" s="182">
        <v>1546.69</v>
      </c>
      <c r="E194" t="s">
        <v>645</v>
      </c>
      <c r="F194" t="s">
        <v>388</v>
      </c>
      <c r="G194" s="147" t="s">
        <v>385</v>
      </c>
    </row>
    <row r="195" spans="1:7" x14ac:dyDescent="0.3">
      <c r="A195" s="157">
        <v>5158</v>
      </c>
      <c r="B195" s="148">
        <v>42010</v>
      </c>
      <c r="C195" t="s">
        <v>501</v>
      </c>
      <c r="D195" s="182">
        <v>6939.56</v>
      </c>
      <c r="E195" t="s">
        <v>445</v>
      </c>
      <c r="F195" t="s">
        <v>549</v>
      </c>
      <c r="G195" s="147"/>
    </row>
    <row r="196" spans="1:7" x14ac:dyDescent="0.3">
      <c r="A196" s="157">
        <v>5159</v>
      </c>
      <c r="B196" s="148">
        <v>42012</v>
      </c>
      <c r="C196" t="s">
        <v>450</v>
      </c>
      <c r="D196" s="182">
        <v>478.4</v>
      </c>
      <c r="E196" t="s">
        <v>646</v>
      </c>
      <c r="F196" t="s">
        <v>647</v>
      </c>
      <c r="G196" s="147"/>
    </row>
    <row r="197" spans="1:7" x14ac:dyDescent="0.3">
      <c r="A197" s="157">
        <v>5160</v>
      </c>
      <c r="B197" s="148">
        <v>42013</v>
      </c>
      <c r="C197" t="s">
        <v>427</v>
      </c>
      <c r="D197" s="182">
        <v>110</v>
      </c>
      <c r="E197" t="s">
        <v>435</v>
      </c>
      <c r="G197" s="147" t="s">
        <v>385</v>
      </c>
    </row>
    <row r="198" spans="1:7" x14ac:dyDescent="0.3">
      <c r="A198" s="157">
        <v>5161</v>
      </c>
      <c r="B198" s="148">
        <v>42019</v>
      </c>
      <c r="C198" t="s">
        <v>648</v>
      </c>
      <c r="D198" s="182">
        <v>1000</v>
      </c>
      <c r="E198" t="s">
        <v>533</v>
      </c>
      <c r="F198" t="s">
        <v>412</v>
      </c>
      <c r="G198" s="147"/>
    </row>
    <row r="199" spans="1:7" x14ac:dyDescent="0.3">
      <c r="A199" s="157">
        <v>5162</v>
      </c>
      <c r="B199" s="148">
        <v>42020</v>
      </c>
      <c r="C199" t="s">
        <v>649</v>
      </c>
      <c r="D199" s="182">
        <v>26.97</v>
      </c>
      <c r="E199" t="s">
        <v>415</v>
      </c>
      <c r="F199" t="s">
        <v>588</v>
      </c>
      <c r="G199" s="147"/>
    </row>
    <row r="200" spans="1:7" x14ac:dyDescent="0.3">
      <c r="A200" s="157">
        <v>5163</v>
      </c>
      <c r="B200" s="148">
        <v>42020</v>
      </c>
      <c r="C200" t="s">
        <v>651</v>
      </c>
      <c r="D200" s="182">
        <v>247.48</v>
      </c>
      <c r="E200" t="s">
        <v>650</v>
      </c>
      <c r="G200" s="147" t="s">
        <v>385</v>
      </c>
    </row>
    <row r="201" spans="1:7" x14ac:dyDescent="0.3">
      <c r="A201" s="157">
        <v>5164</v>
      </c>
      <c r="B201" s="148">
        <v>42030</v>
      </c>
      <c r="C201" t="s">
        <v>339</v>
      </c>
      <c r="D201" s="182">
        <v>893.52</v>
      </c>
      <c r="E201" t="s">
        <v>617</v>
      </c>
      <c r="F201" t="s">
        <v>382</v>
      </c>
      <c r="G201" s="147"/>
    </row>
    <row r="202" spans="1:7" x14ac:dyDescent="0.3">
      <c r="A202" s="157">
        <v>5165</v>
      </c>
      <c r="B202" s="148">
        <v>42040</v>
      </c>
      <c r="C202" t="s">
        <v>652</v>
      </c>
      <c r="D202" s="182">
        <v>262.5</v>
      </c>
      <c r="E202" t="s">
        <v>653</v>
      </c>
      <c r="G202" s="147" t="s">
        <v>385</v>
      </c>
    </row>
    <row r="203" spans="1:7" x14ac:dyDescent="0.3">
      <c r="A203" s="157">
        <v>5166</v>
      </c>
      <c r="B203" s="148">
        <v>42040</v>
      </c>
      <c r="C203" t="s">
        <v>656</v>
      </c>
      <c r="D203" s="182">
        <v>300</v>
      </c>
      <c r="E203" t="s">
        <v>657</v>
      </c>
      <c r="G203" s="147" t="s">
        <v>385</v>
      </c>
    </row>
    <row r="204" spans="1:7" x14ac:dyDescent="0.3">
      <c r="A204" s="157">
        <v>5167</v>
      </c>
      <c r="B204" s="148">
        <v>42042</v>
      </c>
      <c r="C204" t="s">
        <v>658</v>
      </c>
      <c r="D204" s="182">
        <v>2250</v>
      </c>
      <c r="E204" t="s">
        <v>667</v>
      </c>
      <c r="G204" s="147" t="s">
        <v>385</v>
      </c>
    </row>
    <row r="205" spans="1:7" x14ac:dyDescent="0.3">
      <c r="A205" s="157">
        <v>5168</v>
      </c>
      <c r="B205" s="148">
        <v>42042</v>
      </c>
      <c r="C205" t="s">
        <v>659</v>
      </c>
      <c r="D205" s="182">
        <v>10000</v>
      </c>
      <c r="E205" t="s">
        <v>668</v>
      </c>
      <c r="G205" s="147" t="s">
        <v>385</v>
      </c>
    </row>
    <row r="206" spans="1:7" x14ac:dyDescent="0.3">
      <c r="A206" s="157">
        <v>5169</v>
      </c>
      <c r="B206" s="148">
        <v>42042</v>
      </c>
      <c r="C206" t="s">
        <v>544</v>
      </c>
      <c r="D206" s="182">
        <v>5000</v>
      </c>
      <c r="E206" t="s">
        <v>668</v>
      </c>
      <c r="G206" s="147" t="s">
        <v>385</v>
      </c>
    </row>
    <row r="207" spans="1:7" x14ac:dyDescent="0.3">
      <c r="A207" s="157">
        <v>5170</v>
      </c>
      <c r="B207" s="148">
        <v>42042</v>
      </c>
      <c r="C207" t="s">
        <v>660</v>
      </c>
      <c r="D207" s="182">
        <v>2500</v>
      </c>
      <c r="E207" t="s">
        <v>668</v>
      </c>
      <c r="G207" s="147" t="s">
        <v>385</v>
      </c>
    </row>
    <row r="208" spans="1:7" x14ac:dyDescent="0.3">
      <c r="A208" s="157">
        <v>5171</v>
      </c>
      <c r="B208" s="148">
        <v>42042</v>
      </c>
      <c r="C208" t="s">
        <v>661</v>
      </c>
      <c r="D208" s="182">
        <v>810.17</v>
      </c>
      <c r="E208" t="s">
        <v>669</v>
      </c>
      <c r="F208" t="s">
        <v>666</v>
      </c>
      <c r="G208" s="147"/>
    </row>
    <row r="209" spans="1:7" x14ac:dyDescent="0.3">
      <c r="A209" s="157">
        <v>5172</v>
      </c>
      <c r="B209" s="148">
        <v>42044</v>
      </c>
      <c r="C209" t="s">
        <v>443</v>
      </c>
      <c r="D209" s="182">
        <v>126.31</v>
      </c>
      <c r="E209" t="s">
        <v>665</v>
      </c>
      <c r="G209" s="147" t="s">
        <v>385</v>
      </c>
    </row>
    <row r="210" spans="1:7" x14ac:dyDescent="0.3">
      <c r="A210" s="157">
        <v>5173</v>
      </c>
      <c r="B210" s="148">
        <v>42044</v>
      </c>
      <c r="C210" t="s">
        <v>428</v>
      </c>
      <c r="D210" s="182">
        <v>6834.57</v>
      </c>
      <c r="E210" t="s">
        <v>664</v>
      </c>
      <c r="G210" s="147" t="s">
        <v>385</v>
      </c>
    </row>
    <row r="211" spans="1:7" x14ac:dyDescent="0.3">
      <c r="A211" s="157">
        <v>5174</v>
      </c>
      <c r="B211" s="148">
        <v>42044</v>
      </c>
      <c r="C211" t="s">
        <v>662</v>
      </c>
      <c r="D211" s="182">
        <v>29.51</v>
      </c>
      <c r="E211" t="s">
        <v>665</v>
      </c>
      <c r="G211" s="147" t="s">
        <v>385</v>
      </c>
    </row>
    <row r="212" spans="1:7" x14ac:dyDescent="0.3">
      <c r="A212" s="157">
        <v>5175</v>
      </c>
      <c r="B212" s="148">
        <v>42044</v>
      </c>
      <c r="C212" t="s">
        <v>663</v>
      </c>
      <c r="D212" s="182">
        <v>74.31</v>
      </c>
      <c r="E212" t="s">
        <v>665</v>
      </c>
      <c r="G212" s="147" t="s">
        <v>385</v>
      </c>
    </row>
    <row r="213" spans="1:7" x14ac:dyDescent="0.3">
      <c r="A213" s="157">
        <v>5176</v>
      </c>
      <c r="B213" s="148">
        <v>42053</v>
      </c>
      <c r="C213" t="s">
        <v>450</v>
      </c>
      <c r="D213" s="182">
        <v>75.91</v>
      </c>
      <c r="E213" t="s">
        <v>646</v>
      </c>
      <c r="F213" t="s">
        <v>447</v>
      </c>
      <c r="G213" s="147"/>
    </row>
    <row r="214" spans="1:7" x14ac:dyDescent="0.3">
      <c r="A214" s="157">
        <v>5177</v>
      </c>
      <c r="B214" s="148">
        <v>42053</v>
      </c>
      <c r="C214" t="s">
        <v>492</v>
      </c>
      <c r="D214" s="182">
        <v>393.81</v>
      </c>
      <c r="E214" t="s">
        <v>671</v>
      </c>
      <c r="F214" t="s">
        <v>447</v>
      </c>
      <c r="G214" s="147"/>
    </row>
    <row r="215" spans="1:7" x14ac:dyDescent="0.3">
      <c r="A215" s="157">
        <v>5178</v>
      </c>
      <c r="B215" s="148">
        <v>42053</v>
      </c>
      <c r="C215" t="s">
        <v>340</v>
      </c>
      <c r="D215" s="182">
        <v>495.49</v>
      </c>
      <c r="E215" t="s">
        <v>445</v>
      </c>
      <c r="F215" t="s">
        <v>549</v>
      </c>
      <c r="G215" s="147"/>
    </row>
    <row r="216" spans="1:7" x14ac:dyDescent="0.3">
      <c r="A216" s="157">
        <v>5179</v>
      </c>
      <c r="B216" s="148">
        <v>42053</v>
      </c>
      <c r="C216" t="s">
        <v>567</v>
      </c>
      <c r="D216" s="182">
        <v>323.95999999999998</v>
      </c>
      <c r="E216" t="s">
        <v>672</v>
      </c>
      <c r="F216" t="s">
        <v>507</v>
      </c>
      <c r="G216" s="147"/>
    </row>
    <row r="217" spans="1:7" x14ac:dyDescent="0.3">
      <c r="A217" s="157">
        <v>5180</v>
      </c>
      <c r="B217" s="148">
        <v>42053</v>
      </c>
      <c r="C217" t="s">
        <v>479</v>
      </c>
      <c r="D217" s="182">
        <v>554.02</v>
      </c>
      <c r="E217" t="s">
        <v>670</v>
      </c>
      <c r="G217" s="147" t="s">
        <v>385</v>
      </c>
    </row>
    <row r="218" spans="1:7" x14ac:dyDescent="0.3">
      <c r="A218" s="157">
        <v>5181</v>
      </c>
      <c r="B218" s="148">
        <v>42058</v>
      </c>
      <c r="C218" t="s">
        <v>428</v>
      </c>
      <c r="D218" s="182">
        <v>166.22</v>
      </c>
      <c r="E218" t="s">
        <v>674</v>
      </c>
      <c r="F218" t="s">
        <v>675</v>
      </c>
      <c r="G218" s="147"/>
    </row>
    <row r="219" spans="1:7" x14ac:dyDescent="0.3">
      <c r="A219" s="157">
        <v>5182</v>
      </c>
      <c r="B219" s="148">
        <v>42058</v>
      </c>
      <c r="C219" t="s">
        <v>349</v>
      </c>
      <c r="D219" s="182">
        <v>1126.27</v>
      </c>
      <c r="E219" t="s">
        <v>676</v>
      </c>
      <c r="F219" t="s">
        <v>677</v>
      </c>
      <c r="G219" s="147"/>
    </row>
    <row r="220" spans="1:7" x14ac:dyDescent="0.3">
      <c r="A220" s="157">
        <v>5183</v>
      </c>
      <c r="B220" s="148">
        <v>42058</v>
      </c>
      <c r="C220" t="s">
        <v>673</v>
      </c>
      <c r="D220" s="182">
        <v>665.17</v>
      </c>
      <c r="E220" t="s">
        <v>579</v>
      </c>
      <c r="F220" t="s">
        <v>678</v>
      </c>
      <c r="G220" s="147"/>
    </row>
    <row r="221" spans="1:7" x14ac:dyDescent="0.3">
      <c r="A221" s="157">
        <v>5184</v>
      </c>
      <c r="B221" s="148">
        <v>42058</v>
      </c>
      <c r="C221" t="s">
        <v>679</v>
      </c>
      <c r="D221" s="182">
        <v>38</v>
      </c>
      <c r="E221" t="s">
        <v>409</v>
      </c>
      <c r="F221" t="s">
        <v>447</v>
      </c>
      <c r="G221" s="147"/>
    </row>
    <row r="222" spans="1:7" x14ac:dyDescent="0.3">
      <c r="A222" s="157">
        <v>5185</v>
      </c>
      <c r="B222" s="148">
        <v>42065</v>
      </c>
      <c r="C222" t="s">
        <v>680</v>
      </c>
      <c r="D222" s="182">
        <v>45.99</v>
      </c>
      <c r="E222" t="s">
        <v>490</v>
      </c>
      <c r="F222" t="s">
        <v>549</v>
      </c>
      <c r="G222" s="147"/>
    </row>
    <row r="223" spans="1:7" x14ac:dyDescent="0.3">
      <c r="A223" s="157">
        <v>5186</v>
      </c>
      <c r="B223" s="148">
        <v>42074</v>
      </c>
      <c r="C223" t="s">
        <v>681</v>
      </c>
      <c r="D223" s="182">
        <v>47.53</v>
      </c>
      <c r="E223" t="s">
        <v>415</v>
      </c>
      <c r="F223" t="s">
        <v>447</v>
      </c>
      <c r="G223" s="147"/>
    </row>
    <row r="224" spans="1:7" x14ac:dyDescent="0.3">
      <c r="A224" s="157">
        <v>5187</v>
      </c>
      <c r="B224" s="148">
        <v>42082</v>
      </c>
      <c r="C224" t="s">
        <v>477</v>
      </c>
      <c r="D224" s="182">
        <v>472.5</v>
      </c>
      <c r="E224" t="s">
        <v>403</v>
      </c>
      <c r="F224" t="s">
        <v>447</v>
      </c>
      <c r="G224" s="147"/>
    </row>
    <row r="225" spans="1:7" x14ac:dyDescent="0.3">
      <c r="A225" s="157">
        <v>5188</v>
      </c>
      <c r="B225" s="148">
        <v>42082</v>
      </c>
      <c r="C225" t="s">
        <v>501</v>
      </c>
      <c r="D225" s="182">
        <v>1578.99</v>
      </c>
      <c r="E225" t="s">
        <v>683</v>
      </c>
      <c r="F225" t="s">
        <v>549</v>
      </c>
      <c r="G225" s="147"/>
    </row>
    <row r="226" spans="1:7" x14ac:dyDescent="0.3">
      <c r="A226" s="157">
        <v>5189</v>
      </c>
      <c r="B226" s="148">
        <v>42082</v>
      </c>
      <c r="C226" t="s">
        <v>682</v>
      </c>
      <c r="D226" s="182">
        <v>377.88</v>
      </c>
      <c r="E226" t="s">
        <v>511</v>
      </c>
      <c r="F226" t="s">
        <v>512</v>
      </c>
      <c r="G226" s="147"/>
    </row>
    <row r="227" spans="1:7" x14ac:dyDescent="0.3">
      <c r="A227" s="157">
        <v>5190</v>
      </c>
      <c r="B227" s="148">
        <v>42089</v>
      </c>
      <c r="C227" t="s">
        <v>499</v>
      </c>
      <c r="D227" s="182">
        <v>108.19</v>
      </c>
      <c r="E227" t="s">
        <v>692</v>
      </c>
      <c r="F227" t="s">
        <v>507</v>
      </c>
      <c r="G227" s="147"/>
    </row>
    <row r="228" spans="1:7" x14ac:dyDescent="0.3">
      <c r="A228" s="157">
        <v>5191</v>
      </c>
      <c r="B228" s="148">
        <v>42089</v>
      </c>
      <c r="C228" t="s">
        <v>340</v>
      </c>
      <c r="D228" s="182">
        <v>1109.04</v>
      </c>
      <c r="E228" t="s">
        <v>691</v>
      </c>
      <c r="F228" t="s">
        <v>512</v>
      </c>
      <c r="G228" s="147" t="s">
        <v>385</v>
      </c>
    </row>
    <row r="229" spans="1:7" x14ac:dyDescent="0.3">
      <c r="A229" s="157">
        <v>5192</v>
      </c>
      <c r="B229" s="148">
        <v>42089</v>
      </c>
      <c r="C229" t="s">
        <v>685</v>
      </c>
      <c r="D229" s="182">
        <v>60</v>
      </c>
      <c r="E229" t="s">
        <v>690</v>
      </c>
      <c r="F229" t="s">
        <v>507</v>
      </c>
      <c r="G229" s="147"/>
    </row>
    <row r="230" spans="1:7" x14ac:dyDescent="0.3">
      <c r="A230" s="157">
        <v>5193</v>
      </c>
      <c r="B230" s="148">
        <v>42089</v>
      </c>
      <c r="C230" t="s">
        <v>684</v>
      </c>
      <c r="D230" s="182">
        <v>60</v>
      </c>
      <c r="E230" t="s">
        <v>690</v>
      </c>
      <c r="F230" t="s">
        <v>507</v>
      </c>
      <c r="G230" s="147"/>
    </row>
    <row r="231" spans="1:7" x14ac:dyDescent="0.3">
      <c r="A231" s="157">
        <v>5194</v>
      </c>
      <c r="B231" s="148">
        <v>42089</v>
      </c>
      <c r="C231" t="s">
        <v>501</v>
      </c>
      <c r="D231" s="182">
        <v>194.36</v>
      </c>
      <c r="E231" t="s">
        <v>689</v>
      </c>
      <c r="F231" t="s">
        <v>549</v>
      </c>
      <c r="G231" s="147"/>
    </row>
    <row r="232" spans="1:7" x14ac:dyDescent="0.3">
      <c r="A232" s="157">
        <v>5195</v>
      </c>
      <c r="B232" s="148">
        <v>42093</v>
      </c>
      <c r="C232" t="s">
        <v>687</v>
      </c>
      <c r="D232" s="182">
        <v>140</v>
      </c>
      <c r="E232" t="s">
        <v>688</v>
      </c>
      <c r="F232" t="s">
        <v>549</v>
      </c>
      <c r="G232" s="147"/>
    </row>
    <row r="233" spans="1:7" x14ac:dyDescent="0.3">
      <c r="A233" s="157">
        <v>5196</v>
      </c>
      <c r="B233" s="148">
        <v>42100</v>
      </c>
      <c r="C233" t="s">
        <v>338</v>
      </c>
      <c r="D233" s="182">
        <v>1071.3399999999999</v>
      </c>
      <c r="E233" t="s">
        <v>579</v>
      </c>
      <c r="F233" t="s">
        <v>382</v>
      </c>
      <c r="G233" s="147"/>
    </row>
    <row r="234" spans="1:7" x14ac:dyDescent="0.3">
      <c r="A234" s="157">
        <v>5197</v>
      </c>
      <c r="B234" s="148">
        <v>42100</v>
      </c>
      <c r="C234" t="s">
        <v>340</v>
      </c>
      <c r="D234" s="182">
        <v>351.71</v>
      </c>
      <c r="E234" t="s">
        <v>695</v>
      </c>
      <c r="F234" t="s">
        <v>549</v>
      </c>
      <c r="G234" s="147"/>
    </row>
    <row r="235" spans="1:7" x14ac:dyDescent="0.3">
      <c r="A235" s="157">
        <v>5198</v>
      </c>
      <c r="B235" s="148">
        <v>42100</v>
      </c>
      <c r="C235" t="s">
        <v>501</v>
      </c>
      <c r="D235" s="182">
        <v>84.86</v>
      </c>
      <c r="E235" t="s">
        <v>672</v>
      </c>
      <c r="F235" t="s">
        <v>549</v>
      </c>
      <c r="G235" s="147"/>
    </row>
    <row r="236" spans="1:7" x14ac:dyDescent="0.3">
      <c r="A236" s="157">
        <v>5199</v>
      </c>
      <c r="B236" s="148">
        <v>42102</v>
      </c>
      <c r="C236" t="s">
        <v>340</v>
      </c>
      <c r="D236" s="182">
        <v>115.07</v>
      </c>
      <c r="E236" t="s">
        <v>696</v>
      </c>
      <c r="F236" t="s">
        <v>512</v>
      </c>
      <c r="G236" s="147"/>
    </row>
    <row r="237" spans="1:7" x14ac:dyDescent="0.3">
      <c r="A237" s="157">
        <v>5200</v>
      </c>
      <c r="B237" s="148">
        <v>42102</v>
      </c>
      <c r="C237" t="s">
        <v>682</v>
      </c>
      <c r="D237" s="182">
        <v>154.4</v>
      </c>
      <c r="E237" t="s">
        <v>697</v>
      </c>
      <c r="F237" t="s">
        <v>512</v>
      </c>
      <c r="G237" s="147"/>
    </row>
    <row r="238" spans="1:7" x14ac:dyDescent="0.3">
      <c r="A238" s="157">
        <v>5201</v>
      </c>
      <c r="B238" s="148">
        <v>42121</v>
      </c>
      <c r="C238" t="s">
        <v>693</v>
      </c>
      <c r="D238" s="182">
        <v>146.72999999999999</v>
      </c>
      <c r="E238" t="s">
        <v>698</v>
      </c>
      <c r="F238" t="s">
        <v>549</v>
      </c>
      <c r="G238" s="147"/>
    </row>
    <row r="239" spans="1:7" x14ac:dyDescent="0.3">
      <c r="A239" s="157">
        <v>5202</v>
      </c>
      <c r="B239" s="148">
        <v>42121</v>
      </c>
      <c r="C239" t="s">
        <v>537</v>
      </c>
      <c r="D239" s="182">
        <v>193.06</v>
      </c>
      <c r="E239" t="s">
        <v>579</v>
      </c>
      <c r="F239" t="s">
        <v>549</v>
      </c>
      <c r="G239" s="147"/>
    </row>
    <row r="240" spans="1:7" x14ac:dyDescent="0.3">
      <c r="A240" s="157">
        <v>5203</v>
      </c>
      <c r="B240" s="148">
        <v>42124</v>
      </c>
      <c r="C240" t="s">
        <v>694</v>
      </c>
      <c r="D240" s="182">
        <v>47.06</v>
      </c>
      <c r="E240" t="s">
        <v>699</v>
      </c>
      <c r="F240" t="s">
        <v>384</v>
      </c>
      <c r="G240" s="147"/>
    </row>
    <row r="241" spans="1:7" x14ac:dyDescent="0.3">
      <c r="A241" s="157" t="s">
        <v>702</v>
      </c>
      <c r="B241" s="148">
        <v>42135</v>
      </c>
      <c r="C241" t="s">
        <v>701</v>
      </c>
      <c r="D241" s="182">
        <v>1580</v>
      </c>
      <c r="E241" t="s">
        <v>715</v>
      </c>
      <c r="F241" t="s">
        <v>507</v>
      </c>
      <c r="G241" s="147" t="s">
        <v>385</v>
      </c>
    </row>
    <row r="242" spans="1:7" x14ac:dyDescent="0.3">
      <c r="A242" s="157">
        <v>5204</v>
      </c>
      <c r="B242" s="148">
        <v>42135</v>
      </c>
      <c r="C242" t="s">
        <v>498</v>
      </c>
      <c r="D242" s="182">
        <v>200</v>
      </c>
      <c r="E242" t="s">
        <v>408</v>
      </c>
      <c r="F242" t="s">
        <v>549</v>
      </c>
      <c r="G242" s="147" t="s">
        <v>385</v>
      </c>
    </row>
    <row r="243" spans="1:7" x14ac:dyDescent="0.3">
      <c r="A243" s="157">
        <v>5205</v>
      </c>
      <c r="B243" s="148">
        <v>42135</v>
      </c>
      <c r="C243" t="s">
        <v>703</v>
      </c>
      <c r="D243" s="182">
        <v>4197</v>
      </c>
      <c r="E243" t="s">
        <v>676</v>
      </c>
      <c r="F243" t="s">
        <v>388</v>
      </c>
      <c r="G243" s="147"/>
    </row>
    <row r="244" spans="1:7" x14ac:dyDescent="0.3">
      <c r="A244" s="157">
        <v>5206</v>
      </c>
      <c r="B244" s="148">
        <v>42136</v>
      </c>
      <c r="C244" t="s">
        <v>704</v>
      </c>
      <c r="D244" s="182">
        <v>492.85</v>
      </c>
      <c r="E244" t="s">
        <v>711</v>
      </c>
      <c r="F244" t="s">
        <v>677</v>
      </c>
      <c r="G244" s="147" t="s">
        <v>385</v>
      </c>
    </row>
    <row r="245" spans="1:7" x14ac:dyDescent="0.3">
      <c r="A245" s="157">
        <v>5207</v>
      </c>
      <c r="B245" s="148">
        <v>42136</v>
      </c>
      <c r="C245" t="s">
        <v>705</v>
      </c>
      <c r="D245" s="182">
        <v>1297</v>
      </c>
      <c r="E245" t="s">
        <v>712</v>
      </c>
      <c r="F245" t="s">
        <v>388</v>
      </c>
      <c r="G245" s="147" t="s">
        <v>385</v>
      </c>
    </row>
    <row r="246" spans="1:7" x14ac:dyDescent="0.3">
      <c r="A246" s="157">
        <v>5208</v>
      </c>
      <c r="B246" s="148">
        <v>42136</v>
      </c>
      <c r="C246" t="s">
        <v>632</v>
      </c>
      <c r="D246" s="182">
        <v>107</v>
      </c>
      <c r="E246" t="s">
        <v>482</v>
      </c>
      <c r="G246" s="147" t="s">
        <v>385</v>
      </c>
    </row>
    <row r="247" spans="1:7" x14ac:dyDescent="0.3">
      <c r="A247" s="157">
        <v>5209</v>
      </c>
      <c r="B247" s="148">
        <v>42139</v>
      </c>
      <c r="C247" t="s">
        <v>707</v>
      </c>
      <c r="D247" s="182">
        <v>437.3</v>
      </c>
      <c r="E247" t="s">
        <v>408</v>
      </c>
      <c r="F247" t="s">
        <v>507</v>
      </c>
      <c r="G247" s="147"/>
    </row>
    <row r="248" spans="1:7" x14ac:dyDescent="0.3">
      <c r="A248" s="157">
        <v>5210</v>
      </c>
      <c r="B248" s="148">
        <v>42139</v>
      </c>
      <c r="C248" t="s">
        <v>708</v>
      </c>
      <c r="D248" s="182">
        <v>1253.8</v>
      </c>
      <c r="E248" t="s">
        <v>713</v>
      </c>
      <c r="F248" t="s">
        <v>507</v>
      </c>
      <c r="G248" s="147"/>
    </row>
    <row r="249" spans="1:7" x14ac:dyDescent="0.3">
      <c r="A249" s="157">
        <v>5211</v>
      </c>
      <c r="B249" s="148">
        <v>42139</v>
      </c>
      <c r="C249" t="s">
        <v>709</v>
      </c>
      <c r="D249" s="182">
        <v>143.5</v>
      </c>
      <c r="E249" t="s">
        <v>714</v>
      </c>
      <c r="F249" t="s">
        <v>507</v>
      </c>
      <c r="G249" s="147"/>
    </row>
    <row r="250" spans="1:7" x14ac:dyDescent="0.3">
      <c r="A250" s="157">
        <v>5212</v>
      </c>
      <c r="B250" s="148">
        <v>42139</v>
      </c>
      <c r="C250" t="s">
        <v>710</v>
      </c>
      <c r="D250" s="182">
        <v>1900</v>
      </c>
      <c r="E250" t="s">
        <v>292</v>
      </c>
      <c r="G250" s="147" t="s">
        <v>385</v>
      </c>
    </row>
    <row r="251" spans="1:7" x14ac:dyDescent="0.3">
      <c r="A251" s="157">
        <v>5213</v>
      </c>
      <c r="B251" s="148">
        <v>42145</v>
      </c>
      <c r="C251" t="s">
        <v>353</v>
      </c>
      <c r="D251" s="193">
        <v>563</v>
      </c>
      <c r="E251" t="s">
        <v>531</v>
      </c>
      <c r="F251" t="s">
        <v>666</v>
      </c>
      <c r="G251" s="147" t="s">
        <v>385</v>
      </c>
    </row>
    <row r="252" spans="1:7" x14ac:dyDescent="0.3">
      <c r="A252" s="157">
        <v>5214</v>
      </c>
      <c r="B252" s="148">
        <v>42151</v>
      </c>
      <c r="C252" t="s">
        <v>716</v>
      </c>
      <c r="D252" s="182">
        <v>2736</v>
      </c>
      <c r="E252" t="s">
        <v>721</v>
      </c>
      <c r="F252" t="s">
        <v>552</v>
      </c>
      <c r="G252" s="147"/>
    </row>
    <row r="253" spans="1:7" x14ac:dyDescent="0.3">
      <c r="A253" s="157">
        <v>5215</v>
      </c>
      <c r="B253" s="148">
        <v>42152</v>
      </c>
      <c r="C253" t="s">
        <v>717</v>
      </c>
      <c r="D253" s="182">
        <v>1371.79</v>
      </c>
      <c r="E253" t="s">
        <v>720</v>
      </c>
      <c r="F253" t="s">
        <v>382</v>
      </c>
      <c r="G253" s="147"/>
    </row>
    <row r="254" spans="1:7" x14ac:dyDescent="0.3">
      <c r="A254" s="157">
        <v>5216</v>
      </c>
      <c r="B254" s="148">
        <v>42153</v>
      </c>
      <c r="C254" t="s">
        <v>718</v>
      </c>
      <c r="D254" s="182">
        <v>1397.4</v>
      </c>
      <c r="E254" t="s">
        <v>719</v>
      </c>
      <c r="F254" t="s">
        <v>677</v>
      </c>
      <c r="G254" s="147" t="s">
        <v>385</v>
      </c>
    </row>
    <row r="255" spans="1:7" x14ac:dyDescent="0.3">
      <c r="A255" s="157">
        <v>5217</v>
      </c>
      <c r="B255" s="148">
        <v>42157</v>
      </c>
      <c r="C255" t="s">
        <v>344</v>
      </c>
      <c r="D255" s="182">
        <v>1327.16</v>
      </c>
      <c r="E255" t="s">
        <v>568</v>
      </c>
      <c r="G255" s="147" t="s">
        <v>385</v>
      </c>
    </row>
    <row r="256" spans="1:7" x14ac:dyDescent="0.3">
      <c r="A256" s="157">
        <v>5218</v>
      </c>
      <c r="B256" s="148">
        <v>42157</v>
      </c>
      <c r="C256" t="s">
        <v>442</v>
      </c>
      <c r="D256" s="182">
        <v>674.8</v>
      </c>
      <c r="E256" t="s">
        <v>445</v>
      </c>
      <c r="F256" t="s">
        <v>146</v>
      </c>
      <c r="G256" s="147" t="s">
        <v>385</v>
      </c>
    </row>
    <row r="257" spans="1:8" x14ac:dyDescent="0.3">
      <c r="A257" s="157">
        <v>5219</v>
      </c>
      <c r="B257" s="148">
        <v>42170</v>
      </c>
      <c r="C257" t="s">
        <v>649</v>
      </c>
      <c r="D257" s="193">
        <v>142.41</v>
      </c>
      <c r="E257" t="s">
        <v>579</v>
      </c>
      <c r="F257" t="s">
        <v>146</v>
      </c>
      <c r="G257" s="147"/>
    </row>
    <row r="258" spans="1:8" x14ac:dyDescent="0.3">
      <c r="A258" s="157">
        <v>5220</v>
      </c>
      <c r="B258" s="148">
        <v>42170</v>
      </c>
      <c r="C258" t="s">
        <v>546</v>
      </c>
      <c r="D258" s="193">
        <v>4192</v>
      </c>
      <c r="E258" t="s">
        <v>724</v>
      </c>
      <c r="G258" s="147" t="s">
        <v>385</v>
      </c>
    </row>
    <row r="259" spans="1:8" x14ac:dyDescent="0.3">
      <c r="A259" s="157">
        <v>5221</v>
      </c>
      <c r="B259" s="148">
        <v>42170</v>
      </c>
      <c r="C259" t="s">
        <v>426</v>
      </c>
      <c r="D259" s="193">
        <v>1234.71</v>
      </c>
      <c r="E259" t="s">
        <v>725</v>
      </c>
      <c r="F259" t="s">
        <v>412</v>
      </c>
      <c r="G259" s="147" t="s">
        <v>385</v>
      </c>
    </row>
    <row r="260" spans="1:8" x14ac:dyDescent="0.3">
      <c r="A260" s="157">
        <v>5222</v>
      </c>
      <c r="B260" s="148">
        <v>42170</v>
      </c>
      <c r="C260" t="s">
        <v>527</v>
      </c>
      <c r="D260" s="193">
        <v>11000</v>
      </c>
      <c r="E260" t="s">
        <v>531</v>
      </c>
      <c r="G260" s="147" t="s">
        <v>385</v>
      </c>
    </row>
    <row r="261" spans="1:8" x14ac:dyDescent="0.3">
      <c r="A261" s="157">
        <v>5223</v>
      </c>
      <c r="B261" s="148">
        <v>42170</v>
      </c>
      <c r="C261" t="s">
        <v>537</v>
      </c>
      <c r="D261" s="193">
        <v>454.36</v>
      </c>
      <c r="E261" t="s">
        <v>550</v>
      </c>
      <c r="F261" t="s">
        <v>549</v>
      </c>
      <c r="G261" s="147"/>
      <c r="H261" s="156" t="s">
        <v>734</v>
      </c>
    </row>
    <row r="262" spans="1:8" x14ac:dyDescent="0.3">
      <c r="A262" s="157">
        <v>5224</v>
      </c>
      <c r="B262" s="148">
        <v>42170</v>
      </c>
      <c r="C262" t="s">
        <v>501</v>
      </c>
      <c r="D262" s="193">
        <v>394.56</v>
      </c>
      <c r="E262" t="s">
        <v>502</v>
      </c>
      <c r="F262" t="s">
        <v>549</v>
      </c>
      <c r="G262" s="147"/>
    </row>
    <row r="263" spans="1:8" x14ac:dyDescent="0.3">
      <c r="A263" s="157">
        <v>5225</v>
      </c>
      <c r="B263" s="148">
        <v>42191</v>
      </c>
      <c r="C263" t="s">
        <v>727</v>
      </c>
      <c r="D263" s="193">
        <v>93.12</v>
      </c>
      <c r="F263" t="s">
        <v>733</v>
      </c>
      <c r="G263" s="147"/>
    </row>
    <row r="264" spans="1:8" x14ac:dyDescent="0.3">
      <c r="A264" s="157">
        <v>5226</v>
      </c>
      <c r="B264" s="148">
        <v>42191</v>
      </c>
      <c r="C264" t="s">
        <v>442</v>
      </c>
      <c r="D264" s="193">
        <v>99.34</v>
      </c>
      <c r="F264" t="s">
        <v>735</v>
      </c>
      <c r="G264" s="147"/>
    </row>
    <row r="265" spans="1:8" x14ac:dyDescent="0.3">
      <c r="A265" s="157">
        <v>5227</v>
      </c>
      <c r="B265" s="148">
        <v>42191</v>
      </c>
      <c r="C265" t="s">
        <v>356</v>
      </c>
      <c r="D265" s="194" t="s">
        <v>571</v>
      </c>
      <c r="E265" t="s">
        <v>728</v>
      </c>
      <c r="G265" s="147"/>
    </row>
    <row r="266" spans="1:8" x14ac:dyDescent="0.3">
      <c r="A266" s="157">
        <v>5228</v>
      </c>
      <c r="B266" s="148">
        <v>42212</v>
      </c>
      <c r="C266" t="s">
        <v>537</v>
      </c>
      <c r="D266" s="193">
        <v>454.36</v>
      </c>
      <c r="E266" t="s">
        <v>737</v>
      </c>
      <c r="G266" s="147"/>
    </row>
    <row r="267" spans="1:8" x14ac:dyDescent="0.3">
      <c r="A267" s="157">
        <v>5229</v>
      </c>
      <c r="B267" s="148">
        <v>42212</v>
      </c>
      <c r="C267" t="s">
        <v>643</v>
      </c>
      <c r="D267" s="193">
        <v>76.77</v>
      </c>
      <c r="E267" t="s">
        <v>568</v>
      </c>
      <c r="G267" s="147" t="s">
        <v>385</v>
      </c>
    </row>
    <row r="268" spans="1:8" x14ac:dyDescent="0.3">
      <c r="A268" s="157">
        <v>5230</v>
      </c>
      <c r="B268" s="148">
        <v>42213</v>
      </c>
      <c r="C268" t="s">
        <v>729</v>
      </c>
      <c r="D268" s="193">
        <v>275</v>
      </c>
      <c r="E268" t="s">
        <v>736</v>
      </c>
      <c r="F268" t="s">
        <v>512</v>
      </c>
      <c r="G268" s="147"/>
    </row>
    <row r="269" spans="1:8" x14ac:dyDescent="0.3">
      <c r="A269" s="157">
        <v>5231</v>
      </c>
      <c r="B269" s="148">
        <v>42213</v>
      </c>
      <c r="C269" t="s">
        <v>643</v>
      </c>
      <c r="D269" s="193">
        <v>10.77</v>
      </c>
      <c r="E269" t="s">
        <v>568</v>
      </c>
      <c r="G269" s="147" t="s">
        <v>385</v>
      </c>
    </row>
    <row r="270" spans="1:8" x14ac:dyDescent="0.3">
      <c r="A270" s="157">
        <v>5232</v>
      </c>
      <c r="B270" s="148">
        <v>42220</v>
      </c>
      <c r="C270" t="s">
        <v>498</v>
      </c>
      <c r="D270" s="193">
        <v>200</v>
      </c>
      <c r="E270" t="s">
        <v>738</v>
      </c>
      <c r="F270" t="s">
        <v>549</v>
      </c>
      <c r="G270" s="147"/>
    </row>
    <row r="271" spans="1:8" x14ac:dyDescent="0.3">
      <c r="A271" s="157">
        <v>5233</v>
      </c>
      <c r="B271" s="148">
        <v>42222</v>
      </c>
      <c r="C271" t="s">
        <v>730</v>
      </c>
      <c r="D271" s="193">
        <v>2280</v>
      </c>
      <c r="E271" t="s">
        <v>739</v>
      </c>
      <c r="F271" t="s">
        <v>412</v>
      </c>
      <c r="G271" s="147"/>
    </row>
    <row r="272" spans="1:8" x14ac:dyDescent="0.3">
      <c r="A272" s="157">
        <v>5234</v>
      </c>
      <c r="B272" s="148">
        <v>42243</v>
      </c>
      <c r="C272" t="s">
        <v>731</v>
      </c>
      <c r="D272" s="193">
        <v>137</v>
      </c>
      <c r="E272" t="s">
        <v>740</v>
      </c>
      <c r="F272" t="s">
        <v>386</v>
      </c>
      <c r="G272" s="147"/>
    </row>
    <row r="273" spans="1:7" x14ac:dyDescent="0.3">
      <c r="A273" s="157">
        <v>5235</v>
      </c>
      <c r="B273" s="148">
        <v>42247</v>
      </c>
      <c r="C273" t="s">
        <v>732</v>
      </c>
      <c r="D273" s="193">
        <v>1017.6</v>
      </c>
      <c r="E273" t="s">
        <v>904</v>
      </c>
      <c r="F273" t="s">
        <v>733</v>
      </c>
      <c r="G273" s="147"/>
    </row>
    <row r="274" spans="1:7" x14ac:dyDescent="0.3">
      <c r="A274" s="157">
        <v>5236</v>
      </c>
      <c r="B274" s="148">
        <v>42248</v>
      </c>
      <c r="C274" t="s">
        <v>732</v>
      </c>
      <c r="D274" s="193">
        <v>500</v>
      </c>
      <c r="E274" t="s">
        <v>744</v>
      </c>
      <c r="F274" t="s">
        <v>386</v>
      </c>
      <c r="G274" s="147"/>
    </row>
    <row r="275" spans="1:7" x14ac:dyDescent="0.3">
      <c r="A275" s="157">
        <v>5237</v>
      </c>
      <c r="B275" s="148">
        <v>42261</v>
      </c>
      <c r="C275" t="s">
        <v>350</v>
      </c>
      <c r="D275" s="193">
        <v>1200</v>
      </c>
      <c r="E275" t="s">
        <v>597</v>
      </c>
      <c r="F275" t="s">
        <v>382</v>
      </c>
      <c r="G275" s="147"/>
    </row>
    <row r="276" spans="1:7" x14ac:dyDescent="0.3">
      <c r="A276" s="157">
        <v>5238</v>
      </c>
      <c r="B276" s="148">
        <v>42261</v>
      </c>
      <c r="C276" t="s">
        <v>341</v>
      </c>
      <c r="D276" s="193">
        <v>638.01</v>
      </c>
      <c r="E276" t="s">
        <v>745</v>
      </c>
      <c r="F276" t="s">
        <v>382</v>
      </c>
      <c r="G276" s="147"/>
    </row>
    <row r="277" spans="1:7" x14ac:dyDescent="0.3">
      <c r="A277" s="157">
        <v>5239</v>
      </c>
      <c r="B277" s="148">
        <v>42261</v>
      </c>
      <c r="C277" t="s">
        <v>742</v>
      </c>
      <c r="D277" s="193">
        <v>727.46</v>
      </c>
      <c r="E277" t="s">
        <v>506</v>
      </c>
      <c r="F277" t="s">
        <v>615</v>
      </c>
      <c r="G277" s="147" t="s">
        <v>385</v>
      </c>
    </row>
    <row r="278" spans="1:7" x14ac:dyDescent="0.3">
      <c r="A278" s="157">
        <v>5240</v>
      </c>
      <c r="B278" s="148">
        <v>42261</v>
      </c>
      <c r="C278" t="s">
        <v>340</v>
      </c>
      <c r="D278" s="193">
        <v>182.09</v>
      </c>
      <c r="E278" t="s">
        <v>366</v>
      </c>
      <c r="F278" t="s">
        <v>615</v>
      </c>
      <c r="G278" s="147" t="s">
        <v>385</v>
      </c>
    </row>
    <row r="279" spans="1:7" x14ac:dyDescent="0.3">
      <c r="A279" s="157">
        <v>5241</v>
      </c>
      <c r="B279" s="148">
        <v>42261</v>
      </c>
      <c r="C279" t="s">
        <v>407</v>
      </c>
      <c r="D279" s="193">
        <v>868.74</v>
      </c>
      <c r="E279" t="s">
        <v>403</v>
      </c>
      <c r="F279" t="s">
        <v>381</v>
      </c>
      <c r="G279" s="147"/>
    </row>
    <row r="280" spans="1:7" x14ac:dyDescent="0.3">
      <c r="A280" s="157">
        <v>5242</v>
      </c>
      <c r="B280" s="148">
        <v>42261</v>
      </c>
      <c r="C280" t="s">
        <v>643</v>
      </c>
      <c r="D280" s="193">
        <v>149.65</v>
      </c>
      <c r="E280" t="s">
        <v>568</v>
      </c>
      <c r="G280" s="147" t="s">
        <v>385</v>
      </c>
    </row>
    <row r="281" spans="1:7" x14ac:dyDescent="0.3">
      <c r="A281" s="157">
        <v>5243</v>
      </c>
      <c r="B281" s="148">
        <v>42268</v>
      </c>
      <c r="C281" t="s">
        <v>743</v>
      </c>
      <c r="D281" s="193">
        <v>725.45</v>
      </c>
      <c r="E281" t="s">
        <v>746</v>
      </c>
      <c r="F281" t="s">
        <v>615</v>
      </c>
      <c r="G281" s="147"/>
    </row>
    <row r="282" spans="1:7" x14ac:dyDescent="0.3">
      <c r="A282" s="157">
        <f>+A281+1</f>
        <v>5244</v>
      </c>
      <c r="B282" s="148">
        <v>42278</v>
      </c>
      <c r="C282" t="s">
        <v>732</v>
      </c>
      <c r="D282" s="193">
        <v>8227.92</v>
      </c>
      <c r="E282" t="s">
        <v>445</v>
      </c>
      <c r="F282" t="s">
        <v>382</v>
      </c>
      <c r="G282" s="147" t="s">
        <v>385</v>
      </c>
    </row>
    <row r="283" spans="1:7" x14ac:dyDescent="0.3">
      <c r="A283" s="157">
        <f t="shared" ref="A283:A295" si="0">+A282+1</f>
        <v>5245</v>
      </c>
      <c r="B283" s="148">
        <v>42289</v>
      </c>
      <c r="C283" t="s">
        <v>342</v>
      </c>
      <c r="D283" s="193">
        <v>1249.44</v>
      </c>
      <c r="E283" t="s">
        <v>756</v>
      </c>
      <c r="F283" t="s">
        <v>386</v>
      </c>
      <c r="G283" s="147"/>
    </row>
    <row r="284" spans="1:7" x14ac:dyDescent="0.3">
      <c r="A284" s="157">
        <f t="shared" si="0"/>
        <v>5246</v>
      </c>
      <c r="B284" s="148">
        <v>42289</v>
      </c>
      <c r="C284" t="s">
        <v>748</v>
      </c>
      <c r="D284" s="193">
        <v>200</v>
      </c>
      <c r="E284" t="s">
        <v>746</v>
      </c>
      <c r="F284" t="s">
        <v>406</v>
      </c>
      <c r="G284" s="147"/>
    </row>
    <row r="285" spans="1:7" x14ac:dyDescent="0.3">
      <c r="A285" s="157">
        <f t="shared" si="0"/>
        <v>5247</v>
      </c>
      <c r="B285" s="148">
        <v>42289</v>
      </c>
      <c r="C285" t="s">
        <v>353</v>
      </c>
      <c r="D285" s="193">
        <v>3050</v>
      </c>
      <c r="E285" t="s">
        <v>531</v>
      </c>
      <c r="G285" s="147" t="s">
        <v>385</v>
      </c>
    </row>
    <row r="286" spans="1:7" x14ac:dyDescent="0.3">
      <c r="A286" s="157">
        <f t="shared" si="0"/>
        <v>5248</v>
      </c>
      <c r="B286" s="148">
        <v>42290</v>
      </c>
      <c r="C286" t="s">
        <v>749</v>
      </c>
      <c r="D286" s="193">
        <v>1430</v>
      </c>
      <c r="E286" t="s">
        <v>757</v>
      </c>
      <c r="F286" t="s">
        <v>758</v>
      </c>
      <c r="G286" s="147" t="s">
        <v>385</v>
      </c>
    </row>
    <row r="287" spans="1:7" x14ac:dyDescent="0.3">
      <c r="A287" s="157">
        <f t="shared" si="0"/>
        <v>5249</v>
      </c>
      <c r="B287" s="148">
        <v>42290</v>
      </c>
      <c r="C287" t="s">
        <v>750</v>
      </c>
      <c r="D287" s="193">
        <v>30.5</v>
      </c>
      <c r="E287" t="s">
        <v>760</v>
      </c>
      <c r="F287" t="s">
        <v>384</v>
      </c>
      <c r="G287" s="147"/>
    </row>
    <row r="288" spans="1:7" x14ac:dyDescent="0.3">
      <c r="A288" s="157">
        <f t="shared" si="0"/>
        <v>5250</v>
      </c>
      <c r="B288" s="148">
        <v>42290</v>
      </c>
      <c r="C288" t="s">
        <v>751</v>
      </c>
      <c r="D288" s="193">
        <v>30.5</v>
      </c>
      <c r="E288" t="s">
        <v>760</v>
      </c>
      <c r="F288" t="s">
        <v>384</v>
      </c>
      <c r="G288" s="147"/>
    </row>
    <row r="289" spans="1:7" x14ac:dyDescent="0.3">
      <c r="A289" s="157">
        <f t="shared" si="0"/>
        <v>5251</v>
      </c>
      <c r="B289" s="148">
        <v>42290</v>
      </c>
      <c r="C289" t="s">
        <v>752</v>
      </c>
      <c r="D289" s="193">
        <v>1200</v>
      </c>
      <c r="E289" t="s">
        <v>759</v>
      </c>
      <c r="F289" t="s">
        <v>384</v>
      </c>
      <c r="G289" s="147"/>
    </row>
    <row r="290" spans="1:7" x14ac:dyDescent="0.3">
      <c r="A290" s="157">
        <f t="shared" si="0"/>
        <v>5252</v>
      </c>
      <c r="B290" s="148">
        <v>42293</v>
      </c>
      <c r="C290" t="s">
        <v>338</v>
      </c>
      <c r="D290" s="193">
        <v>2088.67</v>
      </c>
      <c r="E290" t="s">
        <v>585</v>
      </c>
      <c r="F290" t="s">
        <v>382</v>
      </c>
      <c r="G290" s="147"/>
    </row>
    <row r="291" spans="1:7" x14ac:dyDescent="0.3">
      <c r="A291" s="157">
        <f t="shared" si="0"/>
        <v>5253</v>
      </c>
      <c r="B291" s="148">
        <v>42293</v>
      </c>
      <c r="C291" t="s">
        <v>753</v>
      </c>
      <c r="D291" s="193">
        <v>45.75</v>
      </c>
      <c r="E291" t="s">
        <v>518</v>
      </c>
      <c r="F291" t="s">
        <v>382</v>
      </c>
      <c r="G291" s="147"/>
    </row>
    <row r="292" spans="1:7" x14ac:dyDescent="0.3">
      <c r="A292" s="157">
        <f t="shared" si="0"/>
        <v>5254</v>
      </c>
      <c r="B292" s="148">
        <v>42293</v>
      </c>
      <c r="C292" t="s">
        <v>754</v>
      </c>
      <c r="D292" s="193">
        <v>45.75</v>
      </c>
      <c r="E292" t="s">
        <v>518</v>
      </c>
      <c r="F292" t="s">
        <v>382</v>
      </c>
      <c r="G292" s="147"/>
    </row>
    <row r="293" spans="1:7" x14ac:dyDescent="0.3">
      <c r="A293" s="157">
        <f t="shared" si="0"/>
        <v>5255</v>
      </c>
      <c r="B293" s="148">
        <v>42293</v>
      </c>
      <c r="C293" t="s">
        <v>755</v>
      </c>
      <c r="D293" s="193">
        <v>35</v>
      </c>
      <c r="E293" t="s">
        <v>506</v>
      </c>
      <c r="F293" t="s">
        <v>382</v>
      </c>
      <c r="G293" s="147"/>
    </row>
    <row r="294" spans="1:7" x14ac:dyDescent="0.3">
      <c r="A294" s="157">
        <f t="shared" si="0"/>
        <v>5256</v>
      </c>
      <c r="B294" s="148">
        <v>42303</v>
      </c>
      <c r="C294" t="s">
        <v>622</v>
      </c>
      <c r="D294" s="193">
        <v>800</v>
      </c>
      <c r="E294" t="s">
        <v>761</v>
      </c>
      <c r="F294" t="s">
        <v>384</v>
      </c>
      <c r="G294" s="147"/>
    </row>
    <row r="295" spans="1:7" x14ac:dyDescent="0.3">
      <c r="A295" s="157">
        <f t="shared" si="0"/>
        <v>5257</v>
      </c>
      <c r="B295" s="148">
        <v>42304</v>
      </c>
      <c r="C295" t="s">
        <v>352</v>
      </c>
      <c r="D295" s="193">
        <v>114</v>
      </c>
      <c r="E295" t="s">
        <v>646</v>
      </c>
      <c r="F295" t="s">
        <v>412</v>
      </c>
      <c r="G295" s="147"/>
    </row>
    <row r="296" spans="1:7" x14ac:dyDescent="0.3">
      <c r="A296" s="157">
        <v>5258</v>
      </c>
      <c r="B296" s="148">
        <v>42317</v>
      </c>
      <c r="C296" t="s">
        <v>622</v>
      </c>
      <c r="D296" s="193">
        <v>300</v>
      </c>
      <c r="E296" t="s">
        <v>761</v>
      </c>
      <c r="F296" t="s">
        <v>384</v>
      </c>
      <c r="G296" s="147"/>
    </row>
    <row r="297" spans="1:7" x14ac:dyDescent="0.3">
      <c r="A297" s="157">
        <v>5259</v>
      </c>
      <c r="B297" s="148">
        <v>42317</v>
      </c>
      <c r="C297" t="s">
        <v>764</v>
      </c>
      <c r="D297" s="193">
        <v>500</v>
      </c>
      <c r="E297" t="s">
        <v>761</v>
      </c>
      <c r="F297" t="s">
        <v>384</v>
      </c>
      <c r="G297" s="147"/>
    </row>
    <row r="298" spans="1:7" x14ac:dyDescent="0.3">
      <c r="A298" s="157">
        <v>5260</v>
      </c>
      <c r="B298" s="148">
        <v>42317</v>
      </c>
      <c r="C298" t="s">
        <v>732</v>
      </c>
      <c r="D298" s="193">
        <v>3500</v>
      </c>
      <c r="E298" t="s">
        <v>761</v>
      </c>
      <c r="F298" t="s">
        <v>146</v>
      </c>
      <c r="G298" s="147"/>
    </row>
    <row r="299" spans="1:7" x14ac:dyDescent="0.3">
      <c r="A299" s="157">
        <v>5261</v>
      </c>
      <c r="B299" s="148">
        <v>42318</v>
      </c>
      <c r="C299" t="s">
        <v>732</v>
      </c>
      <c r="D299" s="193">
        <v>2700</v>
      </c>
      <c r="E299" t="s">
        <v>767</v>
      </c>
      <c r="F299" t="s">
        <v>507</v>
      </c>
      <c r="G299" s="147" t="s">
        <v>385</v>
      </c>
    </row>
    <row r="300" spans="1:7" x14ac:dyDescent="0.3">
      <c r="A300" s="157">
        <v>5262</v>
      </c>
      <c r="B300" s="148">
        <v>42319</v>
      </c>
      <c r="C300" t="s">
        <v>742</v>
      </c>
      <c r="D300" s="193">
        <v>3049.49</v>
      </c>
      <c r="E300" t="s">
        <v>445</v>
      </c>
      <c r="F300" t="s">
        <v>552</v>
      </c>
      <c r="G300" s="147" t="s">
        <v>385</v>
      </c>
    </row>
    <row r="301" spans="1:7" x14ac:dyDescent="0.3">
      <c r="A301" s="157">
        <v>5263</v>
      </c>
      <c r="B301" s="148">
        <v>42319</v>
      </c>
      <c r="C301" t="s">
        <v>743</v>
      </c>
      <c r="D301" s="193">
        <v>127.1</v>
      </c>
      <c r="E301" t="s">
        <v>768</v>
      </c>
      <c r="F301" t="s">
        <v>406</v>
      </c>
      <c r="G301" s="147"/>
    </row>
    <row r="302" spans="1:7" x14ac:dyDescent="0.3">
      <c r="A302" s="157">
        <v>5264</v>
      </c>
      <c r="B302" s="148">
        <v>42319</v>
      </c>
      <c r="C302" t="s">
        <v>765</v>
      </c>
      <c r="D302" s="193">
        <v>61.63</v>
      </c>
      <c r="E302" t="s">
        <v>646</v>
      </c>
      <c r="F302" t="s">
        <v>384</v>
      </c>
      <c r="G302" s="147"/>
    </row>
    <row r="303" spans="1:7" x14ac:dyDescent="0.3">
      <c r="A303" s="157">
        <v>5265</v>
      </c>
      <c r="B303" s="148">
        <v>42319</v>
      </c>
      <c r="C303" t="s">
        <v>732</v>
      </c>
      <c r="D303" s="193">
        <v>2000</v>
      </c>
      <c r="E303" t="s">
        <v>761</v>
      </c>
      <c r="F303" t="s">
        <v>406</v>
      </c>
      <c r="G303" s="147"/>
    </row>
    <row r="304" spans="1:7" x14ac:dyDescent="0.3">
      <c r="A304" s="157">
        <v>5266</v>
      </c>
      <c r="B304" s="148">
        <v>42325</v>
      </c>
      <c r="C304" t="s">
        <v>632</v>
      </c>
      <c r="D304" s="193">
        <v>131.69</v>
      </c>
      <c r="E304" t="s">
        <v>769</v>
      </c>
      <c r="F304" t="s">
        <v>456</v>
      </c>
      <c r="G304" s="147"/>
    </row>
    <row r="305" spans="1:7" x14ac:dyDescent="0.3">
      <c r="A305" s="157">
        <v>5267</v>
      </c>
      <c r="B305" s="148">
        <v>42331</v>
      </c>
      <c r="C305" t="s">
        <v>492</v>
      </c>
      <c r="D305" s="193">
        <v>759.25</v>
      </c>
      <c r="E305" t="s">
        <v>770</v>
      </c>
      <c r="F305" t="s">
        <v>447</v>
      </c>
      <c r="G305" s="147"/>
    </row>
    <row r="306" spans="1:7" x14ac:dyDescent="0.3">
      <c r="A306" s="157">
        <v>5268</v>
      </c>
      <c r="B306" s="148">
        <v>42332</v>
      </c>
      <c r="C306" t="s">
        <v>766</v>
      </c>
      <c r="D306" s="193">
        <v>271.91000000000003</v>
      </c>
      <c r="E306" t="s">
        <v>646</v>
      </c>
      <c r="F306" t="s">
        <v>381</v>
      </c>
      <c r="G306" s="147"/>
    </row>
    <row r="307" spans="1:7" x14ac:dyDescent="0.3">
      <c r="A307" s="157">
        <v>5269</v>
      </c>
      <c r="B307" s="148">
        <v>42332</v>
      </c>
      <c r="C307" t="s">
        <v>407</v>
      </c>
      <c r="D307" s="193">
        <v>1261.72</v>
      </c>
      <c r="E307" t="s">
        <v>771</v>
      </c>
      <c r="F307" t="s">
        <v>381</v>
      </c>
      <c r="G307" s="147"/>
    </row>
    <row r="308" spans="1:7" x14ac:dyDescent="0.3">
      <c r="A308" s="157" t="s">
        <v>420</v>
      </c>
      <c r="B308" s="148">
        <v>42332</v>
      </c>
      <c r="C308" t="s">
        <v>400</v>
      </c>
      <c r="D308" s="193">
        <v>795</v>
      </c>
      <c r="E308" t="s">
        <v>628</v>
      </c>
      <c r="G308" s="147" t="s">
        <v>385</v>
      </c>
    </row>
    <row r="309" spans="1:7" x14ac:dyDescent="0.3">
      <c r="A309" s="157">
        <v>5270</v>
      </c>
      <c r="B309" s="148">
        <v>42339</v>
      </c>
      <c r="C309" t="s">
        <v>772</v>
      </c>
      <c r="D309" s="193">
        <v>392.2</v>
      </c>
      <c r="E309" t="s">
        <v>779</v>
      </c>
      <c r="F309" t="s">
        <v>507</v>
      </c>
      <c r="G309" s="147"/>
    </row>
    <row r="310" spans="1:7" x14ac:dyDescent="0.3">
      <c r="A310" s="157">
        <v>5271</v>
      </c>
      <c r="B310" s="148">
        <v>42339</v>
      </c>
      <c r="C310" t="s">
        <v>773</v>
      </c>
      <c r="D310" s="193">
        <v>392.2</v>
      </c>
      <c r="E310" t="s">
        <v>779</v>
      </c>
      <c r="F310" t="s">
        <v>507</v>
      </c>
      <c r="G310" s="147"/>
    </row>
    <row r="311" spans="1:7" x14ac:dyDescent="0.3">
      <c r="A311" s="157">
        <v>5272</v>
      </c>
      <c r="B311" s="148">
        <v>42339</v>
      </c>
      <c r="C311" t="s">
        <v>352</v>
      </c>
      <c r="D311" s="193">
        <v>150</v>
      </c>
      <c r="E311" t="s">
        <v>780</v>
      </c>
      <c r="F311" t="s">
        <v>412</v>
      </c>
      <c r="G311" s="147"/>
    </row>
    <row r="312" spans="1:7" x14ac:dyDescent="0.3">
      <c r="A312" s="157">
        <v>5273</v>
      </c>
      <c r="B312" s="148">
        <v>42339</v>
      </c>
      <c r="C312" t="s">
        <v>427</v>
      </c>
      <c r="D312" s="193">
        <v>110</v>
      </c>
      <c r="E312" t="s">
        <v>628</v>
      </c>
      <c r="G312" s="147" t="s">
        <v>385</v>
      </c>
    </row>
    <row r="313" spans="1:7" x14ac:dyDescent="0.3">
      <c r="A313" s="157">
        <v>5274</v>
      </c>
      <c r="B313" s="148">
        <v>42339</v>
      </c>
      <c r="C313" t="s">
        <v>774</v>
      </c>
      <c r="D313" s="193">
        <v>49.32</v>
      </c>
      <c r="E313" t="s">
        <v>699</v>
      </c>
      <c r="F313" t="s">
        <v>456</v>
      </c>
      <c r="G313" s="147"/>
    </row>
    <row r="314" spans="1:7" x14ac:dyDescent="0.3">
      <c r="A314" s="157">
        <v>5275</v>
      </c>
      <c r="B314" s="148">
        <v>42346</v>
      </c>
      <c r="C314" t="s">
        <v>775</v>
      </c>
      <c r="D314" s="193">
        <v>800</v>
      </c>
      <c r="E314" t="s">
        <v>812</v>
      </c>
      <c r="G314" s="147" t="s">
        <v>385</v>
      </c>
    </row>
    <row r="315" spans="1:7" x14ac:dyDescent="0.3">
      <c r="A315" s="157">
        <v>5276</v>
      </c>
      <c r="B315" s="148">
        <v>42346</v>
      </c>
      <c r="C315" t="s">
        <v>776</v>
      </c>
      <c r="D315" s="193">
        <v>60.16</v>
      </c>
      <c r="E315" t="s">
        <v>699</v>
      </c>
      <c r="F315" t="s">
        <v>412</v>
      </c>
      <c r="G315" s="147"/>
    </row>
    <row r="316" spans="1:7" x14ac:dyDescent="0.3">
      <c r="A316" s="157" t="s">
        <v>420</v>
      </c>
      <c r="B316" s="148">
        <v>42346</v>
      </c>
      <c r="C316" t="s">
        <v>777</v>
      </c>
      <c r="D316" s="193">
        <v>1632</v>
      </c>
      <c r="E316" t="s">
        <v>781</v>
      </c>
      <c r="G316" s="147" t="s">
        <v>385</v>
      </c>
    </row>
    <row r="317" spans="1:7" x14ac:dyDescent="0.3">
      <c r="A317" s="157">
        <v>5277</v>
      </c>
      <c r="B317" s="148">
        <v>42353</v>
      </c>
      <c r="C317" t="s">
        <v>429</v>
      </c>
      <c r="D317" s="193">
        <v>24.46</v>
      </c>
      <c r="E317" t="s">
        <v>440</v>
      </c>
      <c r="F317" t="s">
        <v>447</v>
      </c>
      <c r="G317" s="147"/>
    </row>
    <row r="318" spans="1:7" x14ac:dyDescent="0.3">
      <c r="A318" s="157">
        <v>5278</v>
      </c>
      <c r="B318" s="148">
        <v>42353</v>
      </c>
      <c r="C318" t="s">
        <v>778</v>
      </c>
      <c r="D318" s="193">
        <v>317.8</v>
      </c>
      <c r="E318" t="s">
        <v>699</v>
      </c>
      <c r="G318" s="147" t="s">
        <v>385</v>
      </c>
    </row>
    <row r="319" spans="1:7" x14ac:dyDescent="0.3">
      <c r="A319" s="157">
        <v>5279</v>
      </c>
      <c r="B319" s="148">
        <v>42359</v>
      </c>
      <c r="C319" t="s">
        <v>429</v>
      </c>
      <c r="D319" s="193">
        <v>273</v>
      </c>
      <c r="E319" t="s">
        <v>646</v>
      </c>
      <c r="F319" t="s">
        <v>447</v>
      </c>
      <c r="G319" s="147"/>
    </row>
    <row r="320" spans="1:7" x14ac:dyDescent="0.3">
      <c r="A320" s="157">
        <v>5280</v>
      </c>
      <c r="B320" s="148">
        <v>42380</v>
      </c>
      <c r="C320" t="s">
        <v>492</v>
      </c>
      <c r="D320" s="193">
        <v>230.16</v>
      </c>
      <c r="E320" t="s">
        <v>797</v>
      </c>
      <c r="F320" t="s">
        <v>447</v>
      </c>
      <c r="G320" s="147"/>
    </row>
    <row r="321" spans="1:10" x14ac:dyDescent="0.3">
      <c r="A321" s="157">
        <v>5281</v>
      </c>
      <c r="B321" s="148">
        <v>42380</v>
      </c>
      <c r="C321" s="156" t="s">
        <v>783</v>
      </c>
      <c r="D321" s="193">
        <v>480.11</v>
      </c>
      <c r="E321" s="156" t="s">
        <v>522</v>
      </c>
      <c r="F321" s="156" t="s">
        <v>793</v>
      </c>
      <c r="G321" s="147"/>
      <c r="H321" s="156" t="s">
        <v>799</v>
      </c>
      <c r="I321" s="156"/>
      <c r="J321" s="156"/>
    </row>
    <row r="322" spans="1:10" x14ac:dyDescent="0.3">
      <c r="A322" s="157">
        <v>5282</v>
      </c>
      <c r="B322" s="148">
        <v>42380</v>
      </c>
      <c r="C322" t="s">
        <v>727</v>
      </c>
      <c r="D322" s="193">
        <v>75</v>
      </c>
      <c r="E322" t="s">
        <v>795</v>
      </c>
      <c r="F322" t="s">
        <v>794</v>
      </c>
      <c r="G322" s="147"/>
    </row>
    <row r="323" spans="1:10" x14ac:dyDescent="0.3">
      <c r="A323" s="157">
        <v>5283</v>
      </c>
      <c r="B323" s="148">
        <v>42380</v>
      </c>
      <c r="C323" t="s">
        <v>429</v>
      </c>
      <c r="D323" s="193">
        <v>24.45</v>
      </c>
      <c r="E323" t="s">
        <v>796</v>
      </c>
      <c r="F323" t="s">
        <v>794</v>
      </c>
      <c r="G323" s="147"/>
    </row>
    <row r="324" spans="1:10" x14ac:dyDescent="0.3">
      <c r="A324" s="157">
        <v>5284</v>
      </c>
      <c r="B324" s="148">
        <v>42381</v>
      </c>
      <c r="C324" t="s">
        <v>339</v>
      </c>
      <c r="D324" s="193">
        <v>5447.77</v>
      </c>
      <c r="E324" t="s">
        <v>792</v>
      </c>
      <c r="F324" t="s">
        <v>388</v>
      </c>
      <c r="G324" s="147" t="s">
        <v>385</v>
      </c>
    </row>
    <row r="325" spans="1:10" x14ac:dyDescent="0.3">
      <c r="A325" s="157">
        <v>5285</v>
      </c>
      <c r="B325" s="148">
        <v>42381</v>
      </c>
      <c r="C325" t="s">
        <v>784</v>
      </c>
      <c r="D325" s="193">
        <v>1425</v>
      </c>
      <c r="E325" t="s">
        <v>791</v>
      </c>
      <c r="G325" s="147" t="s">
        <v>385</v>
      </c>
    </row>
    <row r="326" spans="1:10" x14ac:dyDescent="0.3">
      <c r="A326" s="157">
        <v>5286</v>
      </c>
      <c r="B326" s="148">
        <v>42390</v>
      </c>
      <c r="C326" t="s">
        <v>786</v>
      </c>
      <c r="D326" s="193">
        <v>512.94000000000005</v>
      </c>
      <c r="E326" t="s">
        <v>408</v>
      </c>
      <c r="F326" t="s">
        <v>549</v>
      </c>
      <c r="G326" s="147"/>
    </row>
    <row r="327" spans="1:10" x14ac:dyDescent="0.3">
      <c r="A327" s="157">
        <v>5287</v>
      </c>
      <c r="B327" s="148">
        <v>42390</v>
      </c>
      <c r="C327" t="s">
        <v>501</v>
      </c>
      <c r="D327" s="193">
        <v>2307.08</v>
      </c>
      <c r="E327" t="s">
        <v>790</v>
      </c>
      <c r="F327" t="s">
        <v>549</v>
      </c>
      <c r="G327" s="147"/>
    </row>
    <row r="328" spans="1:10" x14ac:dyDescent="0.3">
      <c r="A328" s="157" t="s">
        <v>787</v>
      </c>
      <c r="B328" s="148">
        <v>42390</v>
      </c>
      <c r="C328" t="s">
        <v>788</v>
      </c>
      <c r="D328" s="193">
        <v>-1000</v>
      </c>
      <c r="E328" t="s">
        <v>789</v>
      </c>
      <c r="G328" s="147" t="s">
        <v>385</v>
      </c>
    </row>
    <row r="329" spans="1:10" x14ac:dyDescent="0.3">
      <c r="A329" s="157">
        <v>5288</v>
      </c>
      <c r="B329" s="148">
        <v>42394</v>
      </c>
      <c r="C329" t="s">
        <v>732</v>
      </c>
      <c r="D329" s="193">
        <v>7405.05</v>
      </c>
      <c r="E329" t="s">
        <v>798</v>
      </c>
      <c r="F329" t="s">
        <v>552</v>
      </c>
      <c r="G329" s="147"/>
    </row>
    <row r="330" spans="1:10" x14ac:dyDescent="0.3">
      <c r="A330" s="157">
        <v>5289</v>
      </c>
      <c r="B330" s="148">
        <v>42033</v>
      </c>
      <c r="C330" t="s">
        <v>783</v>
      </c>
      <c r="D330" s="193">
        <v>480.11</v>
      </c>
      <c r="E330" t="s">
        <v>522</v>
      </c>
      <c r="F330" t="s">
        <v>793</v>
      </c>
      <c r="G330" s="147"/>
    </row>
    <row r="331" spans="1:10" x14ac:dyDescent="0.3">
      <c r="A331" s="157">
        <v>5290</v>
      </c>
      <c r="B331" s="148">
        <v>42404</v>
      </c>
      <c r="C331" t="s">
        <v>800</v>
      </c>
      <c r="D331" s="193">
        <v>258.08999999999997</v>
      </c>
      <c r="E331" t="s">
        <v>801</v>
      </c>
      <c r="F331" t="s">
        <v>534</v>
      </c>
      <c r="G331" s="147"/>
    </row>
    <row r="332" spans="1:10" x14ac:dyDescent="0.3">
      <c r="A332" s="157">
        <v>5291</v>
      </c>
      <c r="B332" s="148">
        <v>42404</v>
      </c>
      <c r="C332" t="s">
        <v>802</v>
      </c>
      <c r="D332" s="193">
        <v>2215.16</v>
      </c>
      <c r="E332" t="s">
        <v>486</v>
      </c>
      <c r="G332" s="147" t="s">
        <v>385</v>
      </c>
    </row>
    <row r="333" spans="1:10" x14ac:dyDescent="0.3">
      <c r="A333" s="157">
        <v>5292</v>
      </c>
      <c r="B333" s="148">
        <v>42404</v>
      </c>
      <c r="C333" t="s">
        <v>651</v>
      </c>
      <c r="D333" s="193">
        <v>993.3</v>
      </c>
      <c r="E333" t="s">
        <v>650</v>
      </c>
      <c r="G333" s="147" t="s">
        <v>385</v>
      </c>
    </row>
    <row r="334" spans="1:10" x14ac:dyDescent="0.3">
      <c r="A334" s="157">
        <v>5293</v>
      </c>
      <c r="B334" s="148">
        <v>42404</v>
      </c>
      <c r="C334" t="s">
        <v>682</v>
      </c>
      <c r="D334" s="193">
        <v>566.12</v>
      </c>
      <c r="E334" t="s">
        <v>805</v>
      </c>
      <c r="F334" t="s">
        <v>512</v>
      </c>
      <c r="G334" s="147"/>
    </row>
    <row r="335" spans="1:10" x14ac:dyDescent="0.3">
      <c r="A335" s="157">
        <v>5294</v>
      </c>
      <c r="B335" s="148">
        <v>42404</v>
      </c>
      <c r="C335" t="s">
        <v>803</v>
      </c>
      <c r="D335" s="193">
        <v>508</v>
      </c>
      <c r="E335" t="s">
        <v>806</v>
      </c>
      <c r="G335" s="147" t="s">
        <v>385</v>
      </c>
    </row>
    <row r="336" spans="1:10" x14ac:dyDescent="0.3">
      <c r="A336" s="157">
        <v>5295</v>
      </c>
      <c r="B336" s="148">
        <v>42404</v>
      </c>
      <c r="C336" t="s">
        <v>804</v>
      </c>
      <c r="D336" s="193">
        <v>486.79</v>
      </c>
      <c r="E336" t="s">
        <v>771</v>
      </c>
      <c r="F336" t="s">
        <v>412</v>
      </c>
      <c r="G336" s="147"/>
    </row>
    <row r="337" spans="1:7" x14ac:dyDescent="0.3">
      <c r="A337" s="157">
        <v>5296</v>
      </c>
      <c r="B337" s="148">
        <v>42423</v>
      </c>
      <c r="C337" t="s">
        <v>500</v>
      </c>
      <c r="D337" s="193">
        <v>3801.73</v>
      </c>
      <c r="E337" t="s">
        <v>445</v>
      </c>
      <c r="F337" t="s">
        <v>549</v>
      </c>
      <c r="G337" s="147" t="s">
        <v>385</v>
      </c>
    </row>
    <row r="338" spans="1:7" x14ac:dyDescent="0.3">
      <c r="A338" s="157">
        <v>5297</v>
      </c>
      <c r="B338" s="148">
        <v>42425</v>
      </c>
      <c r="C338" t="s">
        <v>775</v>
      </c>
      <c r="D338" s="193">
        <v>800</v>
      </c>
      <c r="E338" t="s">
        <v>812</v>
      </c>
      <c r="G338" s="147" t="s">
        <v>385</v>
      </c>
    </row>
    <row r="339" spans="1:7" x14ac:dyDescent="0.3">
      <c r="A339" s="157">
        <v>5298</v>
      </c>
      <c r="B339" s="148">
        <v>42432</v>
      </c>
      <c r="C339" t="s">
        <v>477</v>
      </c>
      <c r="D339" s="193">
        <v>483.15</v>
      </c>
      <c r="E339" t="s">
        <v>548</v>
      </c>
      <c r="F339" t="s">
        <v>447</v>
      </c>
      <c r="G339" s="147"/>
    </row>
    <row r="340" spans="1:7" x14ac:dyDescent="0.3">
      <c r="A340" s="157">
        <v>5299</v>
      </c>
      <c r="B340" s="148">
        <v>42432</v>
      </c>
      <c r="C340" t="s">
        <v>802</v>
      </c>
      <c r="D340" s="193">
        <v>1088.44</v>
      </c>
      <c r="E340" t="s">
        <v>486</v>
      </c>
      <c r="G340" s="147" t="s">
        <v>385</v>
      </c>
    </row>
    <row r="341" spans="1:7" x14ac:dyDescent="0.3">
      <c r="A341" s="157">
        <v>5300</v>
      </c>
      <c r="B341" s="148">
        <v>42432</v>
      </c>
      <c r="C341" t="s">
        <v>786</v>
      </c>
      <c r="D341" s="193">
        <v>559.46</v>
      </c>
      <c r="E341" t="s">
        <v>813</v>
      </c>
      <c r="G341" s="147" t="s">
        <v>385</v>
      </c>
    </row>
    <row r="342" spans="1:7" x14ac:dyDescent="0.3">
      <c r="A342" s="157">
        <v>5301</v>
      </c>
      <c r="B342" s="148">
        <v>42432</v>
      </c>
      <c r="C342" t="s">
        <v>656</v>
      </c>
      <c r="D342" s="193">
        <v>200</v>
      </c>
      <c r="E342" t="s">
        <v>813</v>
      </c>
      <c r="G342" s="147" t="s">
        <v>385</v>
      </c>
    </row>
    <row r="343" spans="1:7" x14ac:dyDescent="0.3">
      <c r="A343" s="157">
        <v>5302</v>
      </c>
      <c r="B343" s="148">
        <v>42434</v>
      </c>
      <c r="C343" t="s">
        <v>821</v>
      </c>
      <c r="D343" s="199">
        <v>2500</v>
      </c>
      <c r="E343" t="s">
        <v>822</v>
      </c>
      <c r="G343" s="147" t="s">
        <v>385</v>
      </c>
    </row>
    <row r="344" spans="1:7" x14ac:dyDescent="0.3">
      <c r="A344" s="157">
        <v>5303</v>
      </c>
      <c r="B344" s="148">
        <v>42434</v>
      </c>
      <c r="C344" t="s">
        <v>807</v>
      </c>
      <c r="D344" s="193">
        <v>2500</v>
      </c>
      <c r="E344" t="s">
        <v>822</v>
      </c>
      <c r="G344" s="147" t="s">
        <v>385</v>
      </c>
    </row>
    <row r="345" spans="1:7" x14ac:dyDescent="0.3">
      <c r="A345" s="157">
        <v>5304</v>
      </c>
      <c r="B345" s="148">
        <v>42434</v>
      </c>
      <c r="C345" t="s">
        <v>808</v>
      </c>
      <c r="D345" s="193">
        <v>1000</v>
      </c>
      <c r="E345" t="s">
        <v>822</v>
      </c>
      <c r="G345" s="147" t="s">
        <v>385</v>
      </c>
    </row>
    <row r="346" spans="1:7" x14ac:dyDescent="0.3">
      <c r="A346" s="157">
        <v>5305</v>
      </c>
      <c r="B346" s="148">
        <v>42434</v>
      </c>
      <c r="C346" t="s">
        <v>809</v>
      </c>
      <c r="D346" s="193">
        <v>1500</v>
      </c>
      <c r="E346" t="s">
        <v>815</v>
      </c>
      <c r="G346" s="147" t="s">
        <v>385</v>
      </c>
    </row>
    <row r="347" spans="1:7" x14ac:dyDescent="0.3">
      <c r="A347" s="157">
        <v>5306</v>
      </c>
      <c r="B347" s="148">
        <v>42440</v>
      </c>
      <c r="C347" t="s">
        <v>501</v>
      </c>
      <c r="D347" s="193">
        <v>3291.56</v>
      </c>
      <c r="E347" t="s">
        <v>816</v>
      </c>
      <c r="F347" t="s">
        <v>549</v>
      </c>
      <c r="G347" s="147"/>
    </row>
    <row r="348" spans="1:7" x14ac:dyDescent="0.3">
      <c r="A348" s="157">
        <v>5307</v>
      </c>
      <c r="B348" s="148">
        <v>42443</v>
      </c>
      <c r="C348" t="s">
        <v>810</v>
      </c>
      <c r="D348" s="193">
        <v>2500</v>
      </c>
      <c r="E348" t="s">
        <v>814</v>
      </c>
      <c r="G348" s="147" t="s">
        <v>385</v>
      </c>
    </row>
    <row r="349" spans="1:7" x14ac:dyDescent="0.3">
      <c r="A349" s="157">
        <v>5308</v>
      </c>
      <c r="B349" s="148">
        <v>42444</v>
      </c>
      <c r="C349" t="s">
        <v>356</v>
      </c>
      <c r="D349" s="206" t="s">
        <v>571</v>
      </c>
      <c r="E349" t="s">
        <v>571</v>
      </c>
      <c r="G349" s="147" t="s">
        <v>385</v>
      </c>
    </row>
    <row r="350" spans="1:7" x14ac:dyDescent="0.3">
      <c r="A350" s="157">
        <v>5309</v>
      </c>
      <c r="B350" s="148">
        <v>42444</v>
      </c>
      <c r="C350" t="s">
        <v>786</v>
      </c>
      <c r="D350" s="193">
        <v>206.39</v>
      </c>
      <c r="E350" t="s">
        <v>813</v>
      </c>
      <c r="G350" s="147" t="s">
        <v>385</v>
      </c>
    </row>
    <row r="351" spans="1:7" x14ac:dyDescent="0.3">
      <c r="A351" s="157">
        <v>5310</v>
      </c>
      <c r="B351" s="148">
        <v>42444</v>
      </c>
      <c r="C351" t="s">
        <v>811</v>
      </c>
      <c r="D351" s="193">
        <v>333.18</v>
      </c>
      <c r="E351" t="s">
        <v>818</v>
      </c>
      <c r="F351" t="s">
        <v>540</v>
      </c>
      <c r="G351" s="147" t="s">
        <v>385</v>
      </c>
    </row>
    <row r="352" spans="1:7" x14ac:dyDescent="0.3">
      <c r="A352" s="157">
        <v>5311</v>
      </c>
      <c r="B352" s="148">
        <v>42450</v>
      </c>
      <c r="C352" t="s">
        <v>338</v>
      </c>
      <c r="D352" s="193">
        <v>1253.3699999999999</v>
      </c>
      <c r="E352" t="s">
        <v>817</v>
      </c>
      <c r="F352" t="s">
        <v>382</v>
      </c>
      <c r="G352" s="147"/>
    </row>
    <row r="353" spans="1:7" x14ac:dyDescent="0.3">
      <c r="A353" s="157">
        <v>5312</v>
      </c>
      <c r="B353" s="148">
        <v>42454</v>
      </c>
      <c r="C353" t="s">
        <v>479</v>
      </c>
      <c r="D353" s="193">
        <v>373.51</v>
      </c>
      <c r="E353" t="s">
        <v>292</v>
      </c>
      <c r="G353" s="147" t="s">
        <v>385</v>
      </c>
    </row>
    <row r="354" spans="1:7" x14ac:dyDescent="0.3">
      <c r="A354" s="157">
        <v>5313</v>
      </c>
      <c r="B354" s="148">
        <v>42461</v>
      </c>
      <c r="C354" t="s">
        <v>501</v>
      </c>
      <c r="D354" s="193">
        <v>127.14</v>
      </c>
      <c r="E354" t="s">
        <v>824</v>
      </c>
      <c r="F354" t="s">
        <v>549</v>
      </c>
      <c r="G354" s="147"/>
    </row>
    <row r="355" spans="1:7" x14ac:dyDescent="0.3">
      <c r="A355" s="157">
        <v>5314</v>
      </c>
      <c r="B355" s="148">
        <v>42464</v>
      </c>
      <c r="C355" t="s">
        <v>339</v>
      </c>
      <c r="D355" s="193">
        <v>1585.5</v>
      </c>
      <c r="E355" t="s">
        <v>445</v>
      </c>
      <c r="F355" t="s">
        <v>388</v>
      </c>
      <c r="G355" s="147"/>
    </row>
    <row r="356" spans="1:7" x14ac:dyDescent="0.3">
      <c r="A356" s="157">
        <v>5315</v>
      </c>
      <c r="B356" s="148">
        <v>42465</v>
      </c>
      <c r="C356" t="s">
        <v>500</v>
      </c>
      <c r="D356" s="193">
        <v>120.47</v>
      </c>
      <c r="E356" t="s">
        <v>825</v>
      </c>
      <c r="F356" t="s">
        <v>549</v>
      </c>
      <c r="G356" s="147"/>
    </row>
    <row r="357" spans="1:7" x14ac:dyDescent="0.3">
      <c r="A357" s="157">
        <v>5316</v>
      </c>
      <c r="B357" s="148">
        <v>42467</v>
      </c>
      <c r="C357" t="s">
        <v>786</v>
      </c>
      <c r="D357" s="193">
        <v>505.95</v>
      </c>
      <c r="E357" t="s">
        <v>550</v>
      </c>
      <c r="F357" t="s">
        <v>549</v>
      </c>
      <c r="G357" s="147"/>
    </row>
    <row r="358" spans="1:7" x14ac:dyDescent="0.3">
      <c r="A358" s="157">
        <v>5317</v>
      </c>
      <c r="B358" s="148">
        <v>42467</v>
      </c>
      <c r="C358" t="s">
        <v>501</v>
      </c>
      <c r="D358" s="193">
        <v>263.04000000000002</v>
      </c>
      <c r="E358" t="s">
        <v>826</v>
      </c>
      <c r="F358" t="s">
        <v>549</v>
      </c>
      <c r="G358" s="147"/>
    </row>
    <row r="359" spans="1:7" x14ac:dyDescent="0.3">
      <c r="A359" s="157">
        <v>5318</v>
      </c>
      <c r="B359" s="148">
        <v>42475</v>
      </c>
      <c r="C359" t="s">
        <v>474</v>
      </c>
      <c r="D359" s="193">
        <v>848.28</v>
      </c>
      <c r="E359" t="s">
        <v>436</v>
      </c>
      <c r="G359" s="147" t="s">
        <v>385</v>
      </c>
    </row>
    <row r="360" spans="1:7" x14ac:dyDescent="0.3">
      <c r="A360" s="157">
        <v>5319</v>
      </c>
      <c r="B360" s="148">
        <v>42479</v>
      </c>
      <c r="C360" t="s">
        <v>742</v>
      </c>
      <c r="D360" s="193">
        <v>646.38</v>
      </c>
      <c r="E360" t="s">
        <v>846</v>
      </c>
      <c r="F360" t="s">
        <v>406</v>
      </c>
      <c r="G360" s="147"/>
    </row>
    <row r="361" spans="1:7" x14ac:dyDescent="0.3">
      <c r="A361" s="157">
        <v>5320</v>
      </c>
      <c r="B361" s="148">
        <v>42479</v>
      </c>
      <c r="C361" t="s">
        <v>349</v>
      </c>
      <c r="D361" s="193">
        <v>800</v>
      </c>
      <c r="E361" t="s">
        <v>715</v>
      </c>
      <c r="G361" s="147" t="s">
        <v>385</v>
      </c>
    </row>
    <row r="362" spans="1:7" x14ac:dyDescent="0.3">
      <c r="A362" s="157">
        <v>5321</v>
      </c>
      <c r="B362" s="148">
        <v>42480</v>
      </c>
      <c r="C362" t="s">
        <v>442</v>
      </c>
      <c r="D362" s="193">
        <v>1645</v>
      </c>
      <c r="E362" t="s">
        <v>445</v>
      </c>
      <c r="F362" t="s">
        <v>847</v>
      </c>
      <c r="G362" s="147"/>
    </row>
    <row r="363" spans="1:7" x14ac:dyDescent="0.3">
      <c r="A363" s="157">
        <v>5322</v>
      </c>
      <c r="B363" s="148">
        <v>42494</v>
      </c>
      <c r="C363" t="s">
        <v>339</v>
      </c>
      <c r="D363" s="193">
        <v>131.46</v>
      </c>
      <c r="E363" t="s">
        <v>854</v>
      </c>
      <c r="F363" t="s">
        <v>388</v>
      </c>
      <c r="G363" s="147"/>
    </row>
    <row r="364" spans="1:7" x14ac:dyDescent="0.3">
      <c r="A364" s="157">
        <v>5323</v>
      </c>
      <c r="B364" s="148">
        <v>42494</v>
      </c>
      <c r="C364" t="s">
        <v>848</v>
      </c>
      <c r="D364" s="193">
        <v>147.99</v>
      </c>
      <c r="E364" t="s">
        <v>855</v>
      </c>
      <c r="F364" t="s">
        <v>549</v>
      </c>
      <c r="G364" s="147"/>
    </row>
    <row r="365" spans="1:7" x14ac:dyDescent="0.3">
      <c r="A365" s="157">
        <v>5324</v>
      </c>
      <c r="B365" s="148">
        <v>42500</v>
      </c>
      <c r="C365" t="s">
        <v>786</v>
      </c>
      <c r="D365" s="193">
        <v>505.95</v>
      </c>
      <c r="E365" t="s">
        <v>550</v>
      </c>
      <c r="F365" t="s">
        <v>549</v>
      </c>
      <c r="G365" s="147"/>
    </row>
    <row r="366" spans="1:7" x14ac:dyDescent="0.3">
      <c r="A366" s="157">
        <v>5325</v>
      </c>
      <c r="B366" s="148">
        <v>42500</v>
      </c>
      <c r="C366" t="s">
        <v>849</v>
      </c>
      <c r="D366" s="193">
        <v>1628</v>
      </c>
      <c r="E366" t="s">
        <v>856</v>
      </c>
      <c r="F366" t="s">
        <v>381</v>
      </c>
      <c r="G366" s="147" t="s">
        <v>385</v>
      </c>
    </row>
    <row r="367" spans="1:7" x14ac:dyDescent="0.3">
      <c r="A367" s="157">
        <v>5326</v>
      </c>
      <c r="B367" s="148">
        <v>42503</v>
      </c>
      <c r="C367" t="s">
        <v>786</v>
      </c>
      <c r="D367" s="193">
        <v>67.27</v>
      </c>
      <c r="E367" t="s">
        <v>550</v>
      </c>
      <c r="F367" t="s">
        <v>549</v>
      </c>
      <c r="G367" s="147"/>
    </row>
    <row r="368" spans="1:7" x14ac:dyDescent="0.3">
      <c r="A368" s="157">
        <v>5327</v>
      </c>
      <c r="B368" s="148">
        <v>42503</v>
      </c>
      <c r="C368" t="s">
        <v>850</v>
      </c>
      <c r="D368" s="193">
        <v>47.16</v>
      </c>
      <c r="E368" t="s">
        <v>699</v>
      </c>
      <c r="F368" t="s">
        <v>549</v>
      </c>
      <c r="G368" s="147"/>
    </row>
    <row r="369" spans="1:7" x14ac:dyDescent="0.3">
      <c r="A369" s="157">
        <v>5328</v>
      </c>
      <c r="B369" s="148">
        <v>42503</v>
      </c>
      <c r="C369" t="s">
        <v>851</v>
      </c>
      <c r="D369" s="193">
        <v>162.04</v>
      </c>
      <c r="E369" t="s">
        <v>698</v>
      </c>
      <c r="F369" t="s">
        <v>549</v>
      </c>
      <c r="G369" s="147"/>
    </row>
    <row r="370" spans="1:7" x14ac:dyDescent="0.3">
      <c r="A370" s="157">
        <v>5329</v>
      </c>
      <c r="B370" s="148">
        <v>42510</v>
      </c>
      <c r="C370" t="s">
        <v>339</v>
      </c>
      <c r="D370" s="193">
        <v>2479.31</v>
      </c>
      <c r="E370" t="s">
        <v>582</v>
      </c>
      <c r="F370" t="s">
        <v>382</v>
      </c>
      <c r="G370" s="147"/>
    </row>
    <row r="371" spans="1:7" x14ac:dyDescent="0.3">
      <c r="A371" s="157">
        <v>5330</v>
      </c>
      <c r="B371" s="148">
        <v>42510</v>
      </c>
      <c r="C371" t="s">
        <v>477</v>
      </c>
      <c r="D371" s="193">
        <v>864.9</v>
      </c>
      <c r="E371" t="s">
        <v>857</v>
      </c>
      <c r="F371" t="s">
        <v>382</v>
      </c>
      <c r="G371" s="147"/>
    </row>
    <row r="372" spans="1:7" x14ac:dyDescent="0.3">
      <c r="A372" s="157">
        <v>5331</v>
      </c>
      <c r="B372" s="148">
        <v>42513</v>
      </c>
      <c r="C372" t="s">
        <v>852</v>
      </c>
      <c r="D372" s="193">
        <v>67.849999999999994</v>
      </c>
      <c r="E372" t="s">
        <v>699</v>
      </c>
      <c r="F372" t="s">
        <v>512</v>
      </c>
      <c r="G372" s="147"/>
    </row>
    <row r="373" spans="1:7" x14ac:dyDescent="0.3">
      <c r="A373" s="157">
        <v>5332</v>
      </c>
      <c r="B373" s="148">
        <v>42515</v>
      </c>
      <c r="C373" t="s">
        <v>705</v>
      </c>
      <c r="D373" s="193">
        <v>4500</v>
      </c>
      <c r="E373" t="s">
        <v>853</v>
      </c>
      <c r="F373" t="s">
        <v>388</v>
      </c>
      <c r="G373" s="147"/>
    </row>
    <row r="374" spans="1:7" x14ac:dyDescent="0.3">
      <c r="A374" s="157">
        <v>5333</v>
      </c>
      <c r="B374" s="148">
        <v>42521</v>
      </c>
      <c r="C374" t="s">
        <v>786</v>
      </c>
      <c r="D374" s="193">
        <v>432.77</v>
      </c>
      <c r="E374" t="s">
        <v>859</v>
      </c>
      <c r="F374" t="s">
        <v>860</v>
      </c>
      <c r="G374" s="147"/>
    </row>
    <row r="375" spans="1:7" x14ac:dyDescent="0.3">
      <c r="A375" s="157">
        <v>5334</v>
      </c>
      <c r="B375" s="148">
        <v>42522</v>
      </c>
      <c r="C375" t="s">
        <v>766</v>
      </c>
      <c r="D375" s="193">
        <v>64.67</v>
      </c>
      <c r="E375" t="s">
        <v>415</v>
      </c>
      <c r="F375" t="s">
        <v>381</v>
      </c>
      <c r="G375" s="147"/>
    </row>
    <row r="376" spans="1:7" x14ac:dyDescent="0.3">
      <c r="A376" s="157">
        <v>5335</v>
      </c>
      <c r="B376" s="148">
        <v>42522</v>
      </c>
      <c r="C376" t="s">
        <v>537</v>
      </c>
      <c r="D376" s="193">
        <v>1116.72</v>
      </c>
      <c r="E376" t="s">
        <v>646</v>
      </c>
      <c r="F376" t="s">
        <v>549</v>
      </c>
      <c r="G376" s="147"/>
    </row>
    <row r="377" spans="1:7" x14ac:dyDescent="0.3">
      <c r="A377" s="157">
        <v>5336</v>
      </c>
      <c r="B377" s="148">
        <v>42531</v>
      </c>
      <c r="C377" t="s">
        <v>861</v>
      </c>
      <c r="D377" s="193">
        <v>45.75</v>
      </c>
      <c r="E377" t="s">
        <v>518</v>
      </c>
      <c r="F377" t="s">
        <v>382</v>
      </c>
      <c r="G377" s="147"/>
    </row>
    <row r="378" spans="1:7" x14ac:dyDescent="0.3">
      <c r="A378" s="157">
        <v>5337</v>
      </c>
      <c r="B378" s="148">
        <v>42531</v>
      </c>
      <c r="C378" t="s">
        <v>862</v>
      </c>
      <c r="D378" s="193">
        <v>100</v>
      </c>
      <c r="E378" t="s">
        <v>415</v>
      </c>
      <c r="F378" t="s">
        <v>549</v>
      </c>
      <c r="G378" s="147"/>
    </row>
    <row r="379" spans="1:7" x14ac:dyDescent="0.3">
      <c r="A379" s="157">
        <v>5338</v>
      </c>
      <c r="B379" s="148">
        <v>42531</v>
      </c>
      <c r="C379" t="s">
        <v>443</v>
      </c>
      <c r="D379" s="193">
        <v>754.95</v>
      </c>
      <c r="E379" t="s">
        <v>646</v>
      </c>
      <c r="F379" t="s">
        <v>507</v>
      </c>
      <c r="G379" s="147"/>
    </row>
    <row r="380" spans="1:7" x14ac:dyDescent="0.3">
      <c r="A380" s="157">
        <v>5339</v>
      </c>
      <c r="B380" s="148">
        <v>42531</v>
      </c>
      <c r="C380" t="s">
        <v>863</v>
      </c>
      <c r="D380" s="193">
        <v>1000</v>
      </c>
      <c r="E380" t="s">
        <v>864</v>
      </c>
      <c r="F380" t="s">
        <v>666</v>
      </c>
      <c r="G380" s="147"/>
    </row>
    <row r="381" spans="1:7" x14ac:dyDescent="0.3">
      <c r="A381" s="157">
        <v>5340</v>
      </c>
      <c r="B381" s="148">
        <v>42537</v>
      </c>
      <c r="C381" t="s">
        <v>662</v>
      </c>
      <c r="D381" s="193">
        <v>28.11</v>
      </c>
      <c r="E381" t="s">
        <v>865</v>
      </c>
      <c r="F381" t="s">
        <v>549</v>
      </c>
      <c r="G381" s="147"/>
    </row>
    <row r="382" spans="1:7" x14ac:dyDescent="0.3">
      <c r="A382" s="157">
        <v>5341</v>
      </c>
      <c r="B382" s="148">
        <v>42537</v>
      </c>
      <c r="C382" t="s">
        <v>546</v>
      </c>
      <c r="D382" s="193">
        <v>4867</v>
      </c>
      <c r="E382" t="s">
        <v>866</v>
      </c>
      <c r="G382" s="147" t="s">
        <v>385</v>
      </c>
    </row>
    <row r="383" spans="1:7" x14ac:dyDescent="0.3">
      <c r="A383" s="157">
        <v>5342</v>
      </c>
      <c r="B383" s="148">
        <v>42541</v>
      </c>
      <c r="C383" t="s">
        <v>344</v>
      </c>
      <c r="D383" s="193">
        <v>1643.87</v>
      </c>
      <c r="E383" t="s">
        <v>699</v>
      </c>
      <c r="G383" s="147" t="s">
        <v>385</v>
      </c>
    </row>
    <row r="384" spans="1:7" x14ac:dyDescent="0.3">
      <c r="A384" s="157">
        <v>5343</v>
      </c>
      <c r="B384" s="148">
        <v>42542</v>
      </c>
      <c r="C384" t="s">
        <v>732</v>
      </c>
      <c r="D384" s="193">
        <v>11000</v>
      </c>
      <c r="E384" t="s">
        <v>531</v>
      </c>
      <c r="G384" s="147" t="s">
        <v>385</v>
      </c>
    </row>
    <row r="385" spans="1:7" x14ac:dyDescent="0.3">
      <c r="A385" s="157">
        <v>5344</v>
      </c>
      <c r="B385" s="148">
        <v>42549</v>
      </c>
      <c r="C385" t="s">
        <v>732</v>
      </c>
      <c r="D385" s="193">
        <v>4000</v>
      </c>
      <c r="E385" t="s">
        <v>666</v>
      </c>
      <c r="F385" t="s">
        <v>666</v>
      </c>
      <c r="G385" s="147"/>
    </row>
    <row r="386" spans="1:7" x14ac:dyDescent="0.3">
      <c r="A386" s="157">
        <v>5345</v>
      </c>
      <c r="B386" s="148">
        <v>42549</v>
      </c>
      <c r="C386" t="s">
        <v>867</v>
      </c>
      <c r="D386" s="193">
        <v>440.98</v>
      </c>
      <c r="E386" t="s">
        <v>869</v>
      </c>
      <c r="F386" t="s">
        <v>382</v>
      </c>
      <c r="G386" s="147"/>
    </row>
    <row r="387" spans="1:7" x14ac:dyDescent="0.3">
      <c r="A387" s="157">
        <v>5346</v>
      </c>
      <c r="B387" s="148">
        <v>42562</v>
      </c>
      <c r="C387" t="s">
        <v>680</v>
      </c>
      <c r="D387" s="193">
        <v>45.46</v>
      </c>
      <c r="E387" t="s">
        <v>871</v>
      </c>
      <c r="F387" t="s">
        <v>549</v>
      </c>
      <c r="G387" s="147"/>
    </row>
    <row r="388" spans="1:7" x14ac:dyDescent="0.3">
      <c r="A388" s="157">
        <v>5347</v>
      </c>
      <c r="B388" s="148">
        <v>42594</v>
      </c>
      <c r="C388" t="s">
        <v>870</v>
      </c>
      <c r="D388" s="193">
        <v>1600</v>
      </c>
      <c r="E388" t="s">
        <v>872</v>
      </c>
      <c r="F388" t="s">
        <v>382</v>
      </c>
      <c r="G388" s="147"/>
    </row>
    <row r="389" spans="1:7" x14ac:dyDescent="0.3">
      <c r="A389" s="157">
        <v>5348</v>
      </c>
      <c r="B389" s="148">
        <v>42597</v>
      </c>
      <c r="C389" t="s">
        <v>742</v>
      </c>
      <c r="D389" s="193">
        <v>1746.08</v>
      </c>
      <c r="E389" t="s">
        <v>873</v>
      </c>
      <c r="F389" t="s">
        <v>588</v>
      </c>
      <c r="G389" s="147"/>
    </row>
    <row r="390" spans="1:7" x14ac:dyDescent="0.3">
      <c r="A390" s="157">
        <v>5349</v>
      </c>
      <c r="B390" s="148">
        <v>42611</v>
      </c>
      <c r="C390" t="s">
        <v>732</v>
      </c>
      <c r="D390" s="193">
        <v>537.14</v>
      </c>
      <c r="E390" t="s">
        <v>871</v>
      </c>
      <c r="F390" t="s">
        <v>386</v>
      </c>
      <c r="G390" s="147"/>
    </row>
    <row r="391" spans="1:7" x14ac:dyDescent="0.3">
      <c r="A391" s="157">
        <v>5350</v>
      </c>
      <c r="B391" s="148">
        <v>42612</v>
      </c>
      <c r="C391" t="s">
        <v>338</v>
      </c>
      <c r="D391" s="193">
        <v>543.23</v>
      </c>
      <c r="E391" t="s">
        <v>874</v>
      </c>
      <c r="F391" t="s">
        <v>382</v>
      </c>
      <c r="G391" s="147"/>
    </row>
    <row r="392" spans="1:7" x14ac:dyDescent="0.3">
      <c r="A392" s="157">
        <v>5351</v>
      </c>
      <c r="B392" s="148">
        <v>42625</v>
      </c>
      <c r="C392" t="s">
        <v>649</v>
      </c>
      <c r="D392" s="193">
        <v>180</v>
      </c>
      <c r="E392" t="s">
        <v>409</v>
      </c>
      <c r="F392" t="s">
        <v>406</v>
      </c>
      <c r="G392" s="210"/>
    </row>
    <row r="393" spans="1:7" x14ac:dyDescent="0.3">
      <c r="A393" s="157">
        <v>5352</v>
      </c>
      <c r="B393" s="148">
        <v>42625</v>
      </c>
      <c r="C393" t="s">
        <v>875</v>
      </c>
      <c r="D393" s="193">
        <v>281.60000000000002</v>
      </c>
      <c r="E393" t="s">
        <v>857</v>
      </c>
      <c r="F393" t="s">
        <v>412</v>
      </c>
      <c r="G393" s="210"/>
    </row>
    <row r="394" spans="1:7" x14ac:dyDescent="0.3">
      <c r="A394" s="157">
        <v>5353</v>
      </c>
      <c r="B394" s="148">
        <v>42626</v>
      </c>
      <c r="C394" t="s">
        <v>749</v>
      </c>
      <c r="D394" s="193">
        <v>1489.55</v>
      </c>
      <c r="E394" t="s">
        <v>881</v>
      </c>
      <c r="F394" t="s">
        <v>880</v>
      </c>
      <c r="G394" s="210" t="s">
        <v>385</v>
      </c>
    </row>
    <row r="395" spans="1:7" x14ac:dyDescent="0.3">
      <c r="A395" s="157">
        <v>5354</v>
      </c>
      <c r="B395" s="148">
        <v>42632</v>
      </c>
      <c r="C395" t="s">
        <v>876</v>
      </c>
      <c r="D395" s="193">
        <v>141.38</v>
      </c>
      <c r="E395" t="s">
        <v>882</v>
      </c>
      <c r="G395" s="210" t="s">
        <v>385</v>
      </c>
    </row>
    <row r="396" spans="1:7" x14ac:dyDescent="0.3">
      <c r="A396" s="157">
        <v>5355</v>
      </c>
      <c r="B396" s="148">
        <v>42632</v>
      </c>
      <c r="C396" t="s">
        <v>877</v>
      </c>
      <c r="D396" s="193">
        <v>1275</v>
      </c>
      <c r="E396" t="s">
        <v>883</v>
      </c>
      <c r="F396" t="s">
        <v>412</v>
      </c>
      <c r="G396" s="210"/>
    </row>
    <row r="397" spans="1:7" x14ac:dyDescent="0.3">
      <c r="A397" s="157">
        <v>5356</v>
      </c>
      <c r="B397" s="148">
        <v>42632</v>
      </c>
      <c r="C397" t="s">
        <v>804</v>
      </c>
      <c r="D397" s="193">
        <v>1368.6</v>
      </c>
      <c r="E397" t="s">
        <v>445</v>
      </c>
      <c r="F397" t="s">
        <v>412</v>
      </c>
      <c r="G397" s="210"/>
    </row>
    <row r="398" spans="1:7" x14ac:dyDescent="0.3">
      <c r="A398" s="157">
        <v>5357</v>
      </c>
      <c r="B398" s="148">
        <v>42632</v>
      </c>
      <c r="C398" t="s">
        <v>338</v>
      </c>
      <c r="D398" s="193">
        <v>1903.4</v>
      </c>
      <c r="E398" t="s">
        <v>884</v>
      </c>
      <c r="F398" t="s">
        <v>382</v>
      </c>
      <c r="G398" s="210"/>
    </row>
    <row r="399" spans="1:7" x14ac:dyDescent="0.3">
      <c r="A399" s="157">
        <v>5358</v>
      </c>
      <c r="B399" s="148">
        <v>42632</v>
      </c>
      <c r="C399" t="s">
        <v>878</v>
      </c>
      <c r="D399" s="193">
        <v>45.75</v>
      </c>
      <c r="E399" t="s">
        <v>518</v>
      </c>
      <c r="F399" t="s">
        <v>382</v>
      </c>
      <c r="G399" s="147"/>
    </row>
    <row r="400" spans="1:7" x14ac:dyDescent="0.3">
      <c r="A400" s="157">
        <v>5359</v>
      </c>
      <c r="B400" s="148">
        <v>42632</v>
      </c>
      <c r="C400" t="s">
        <v>879</v>
      </c>
      <c r="D400" s="193">
        <v>30</v>
      </c>
      <c r="E400" t="s">
        <v>575</v>
      </c>
      <c r="F400" t="s">
        <v>382</v>
      </c>
      <c r="G400" s="147"/>
    </row>
    <row r="401" spans="1:7" x14ac:dyDescent="0.3">
      <c r="A401" s="157">
        <v>5360</v>
      </c>
      <c r="B401" s="148">
        <v>42635</v>
      </c>
      <c r="C401" t="s">
        <v>342</v>
      </c>
      <c r="D401" s="193">
        <v>702.85</v>
      </c>
      <c r="E401" t="s">
        <v>885</v>
      </c>
      <c r="F401" t="s">
        <v>386</v>
      </c>
      <c r="G401" s="147"/>
    </row>
    <row r="402" spans="1:7" x14ac:dyDescent="0.3">
      <c r="A402" s="157">
        <v>5361</v>
      </c>
      <c r="B402" s="148">
        <v>42647</v>
      </c>
      <c r="C402" t="s">
        <v>649</v>
      </c>
      <c r="D402" s="193">
        <v>655.96</v>
      </c>
      <c r="E402" t="s">
        <v>887</v>
      </c>
      <c r="F402" t="s">
        <v>406</v>
      </c>
      <c r="G402" s="210"/>
    </row>
    <row r="403" spans="1:7" x14ac:dyDescent="0.3">
      <c r="A403" s="157">
        <v>5362</v>
      </c>
      <c r="B403" s="148">
        <v>42648</v>
      </c>
      <c r="C403" t="s">
        <v>353</v>
      </c>
      <c r="D403" s="193">
        <v>2006.25</v>
      </c>
      <c r="E403" t="s">
        <v>531</v>
      </c>
      <c r="G403" s="211" t="s">
        <v>385</v>
      </c>
    </row>
    <row r="404" spans="1:7" x14ac:dyDescent="0.3">
      <c r="A404" s="157">
        <v>5363</v>
      </c>
      <c r="B404" s="148">
        <v>42654</v>
      </c>
      <c r="C404" t="s">
        <v>356</v>
      </c>
      <c r="D404" s="213" t="s">
        <v>571</v>
      </c>
      <c r="E404" t="s">
        <v>571</v>
      </c>
      <c r="G404" s="211" t="s">
        <v>385</v>
      </c>
    </row>
    <row r="405" spans="1:7" x14ac:dyDescent="0.3">
      <c r="A405" s="157">
        <v>5364</v>
      </c>
      <c r="B405" s="148">
        <v>42654</v>
      </c>
      <c r="C405" t="s">
        <v>766</v>
      </c>
      <c r="D405" s="193">
        <v>155.41999999999999</v>
      </c>
      <c r="E405" t="s">
        <v>699</v>
      </c>
      <c r="F405" t="s">
        <v>381</v>
      </c>
      <c r="G405" s="211"/>
    </row>
    <row r="406" spans="1:7" x14ac:dyDescent="0.3">
      <c r="A406" s="157">
        <v>5365</v>
      </c>
      <c r="B406" s="148">
        <v>42654</v>
      </c>
      <c r="C406" t="s">
        <v>622</v>
      </c>
      <c r="D406" s="193">
        <v>300</v>
      </c>
      <c r="E406" t="s">
        <v>761</v>
      </c>
      <c r="F406" t="s">
        <v>384</v>
      </c>
      <c r="G406" s="211"/>
    </row>
    <row r="407" spans="1:7" x14ac:dyDescent="0.3">
      <c r="A407" s="157">
        <v>5366</v>
      </c>
      <c r="B407" s="148">
        <v>42654</v>
      </c>
      <c r="C407" t="s">
        <v>766</v>
      </c>
      <c r="D407" s="193">
        <v>610.47</v>
      </c>
      <c r="E407" t="s">
        <v>403</v>
      </c>
      <c r="F407" t="s">
        <v>381</v>
      </c>
      <c r="G407" s="211"/>
    </row>
    <row r="408" spans="1:7" x14ac:dyDescent="0.3">
      <c r="A408" s="157">
        <v>5367</v>
      </c>
      <c r="B408" s="148">
        <v>42654</v>
      </c>
      <c r="C408" t="s">
        <v>748</v>
      </c>
      <c r="D408" s="193">
        <v>170</v>
      </c>
      <c r="E408" t="s">
        <v>888</v>
      </c>
      <c r="F408" t="s">
        <v>406</v>
      </c>
      <c r="G408" s="211"/>
    </row>
    <row r="409" spans="1:7" x14ac:dyDescent="0.3">
      <c r="A409" s="157">
        <v>5368</v>
      </c>
      <c r="B409" s="148">
        <v>42661</v>
      </c>
      <c r="C409" t="s">
        <v>766</v>
      </c>
      <c r="D409" s="193">
        <v>1628.25</v>
      </c>
      <c r="E409" t="s">
        <v>889</v>
      </c>
      <c r="F409" t="s">
        <v>381</v>
      </c>
      <c r="G409" s="211"/>
    </row>
    <row r="410" spans="1:7" x14ac:dyDescent="0.3">
      <c r="A410" s="157">
        <v>5369</v>
      </c>
      <c r="B410" s="148">
        <v>42667</v>
      </c>
      <c r="C410" t="s">
        <v>350</v>
      </c>
      <c r="D410" s="193">
        <v>1280</v>
      </c>
      <c r="E410" t="s">
        <v>890</v>
      </c>
      <c r="F410" t="s">
        <v>382</v>
      </c>
      <c r="G410" s="211"/>
    </row>
    <row r="411" spans="1:7" x14ac:dyDescent="0.3">
      <c r="A411" s="157">
        <v>5370</v>
      </c>
      <c r="B411" s="148">
        <v>42667</v>
      </c>
      <c r="C411" t="s">
        <v>400</v>
      </c>
      <c r="D411" s="193">
        <v>1295</v>
      </c>
      <c r="E411" t="s">
        <v>891</v>
      </c>
      <c r="G411" s="211" t="s">
        <v>385</v>
      </c>
    </row>
    <row r="412" spans="1:7" x14ac:dyDescent="0.3">
      <c r="A412" s="157">
        <v>5371</v>
      </c>
      <c r="B412" s="148">
        <v>42674</v>
      </c>
      <c r="C412" t="s">
        <v>443</v>
      </c>
      <c r="D412" s="193">
        <v>177.55</v>
      </c>
      <c r="E412" t="s">
        <v>699</v>
      </c>
      <c r="G412" s="211" t="s">
        <v>385</v>
      </c>
    </row>
    <row r="413" spans="1:7" x14ac:dyDescent="0.3">
      <c r="A413" s="157">
        <v>5372</v>
      </c>
      <c r="B413" s="148">
        <v>42674</v>
      </c>
      <c r="C413" t="s">
        <v>766</v>
      </c>
      <c r="D413" s="193">
        <v>767.88</v>
      </c>
      <c r="E413" t="s">
        <v>550</v>
      </c>
      <c r="F413" t="s">
        <v>381</v>
      </c>
      <c r="G413" s="211"/>
    </row>
    <row r="414" spans="1:7" x14ac:dyDescent="0.3">
      <c r="A414" s="157">
        <f>+A413+1</f>
        <v>5373</v>
      </c>
      <c r="B414" s="148">
        <v>42675</v>
      </c>
      <c r="C414" t="s">
        <v>892</v>
      </c>
      <c r="D414" s="193">
        <v>643.99</v>
      </c>
      <c r="E414" t="s">
        <v>895</v>
      </c>
      <c r="F414" t="s">
        <v>412</v>
      </c>
      <c r="G414" s="212"/>
    </row>
    <row r="415" spans="1:7" x14ac:dyDescent="0.3">
      <c r="A415" s="243">
        <f t="shared" ref="A415:A422" si="1">+A414+1</f>
        <v>5374</v>
      </c>
      <c r="B415" s="244">
        <v>42675</v>
      </c>
      <c r="C415" s="245" t="s">
        <v>773</v>
      </c>
      <c r="D415" s="231">
        <v>352.08</v>
      </c>
      <c r="E415" s="245" t="s">
        <v>896</v>
      </c>
      <c r="F415" s="245" t="s">
        <v>386</v>
      </c>
      <c r="G415" s="212"/>
    </row>
    <row r="416" spans="1:7" x14ac:dyDescent="0.3">
      <c r="A416" s="157">
        <f t="shared" si="1"/>
        <v>5375</v>
      </c>
      <c r="B416" s="148">
        <v>42681</v>
      </c>
      <c r="C416" t="s">
        <v>342</v>
      </c>
      <c r="D416" s="193">
        <v>2328.4499999999998</v>
      </c>
      <c r="E416" t="s">
        <v>445</v>
      </c>
      <c r="F416" t="s">
        <v>386</v>
      </c>
      <c r="G416" s="212" t="s">
        <v>385</v>
      </c>
    </row>
    <row r="417" spans="1:7" x14ac:dyDescent="0.3">
      <c r="A417" s="157">
        <f t="shared" si="1"/>
        <v>5376</v>
      </c>
      <c r="B417" s="148">
        <v>42682</v>
      </c>
      <c r="C417" t="s">
        <v>742</v>
      </c>
      <c r="D417" s="193">
        <v>648.44000000000005</v>
      </c>
      <c r="E417" t="s">
        <v>873</v>
      </c>
      <c r="F417" t="s">
        <v>588</v>
      </c>
      <c r="G417" s="212"/>
    </row>
    <row r="418" spans="1:7" x14ac:dyDescent="0.3">
      <c r="A418" s="157">
        <f t="shared" si="1"/>
        <v>5377</v>
      </c>
      <c r="B418" s="148">
        <v>42682</v>
      </c>
      <c r="C418" t="s">
        <v>649</v>
      </c>
      <c r="D418" s="193">
        <v>138.79</v>
      </c>
      <c r="E418" t="s">
        <v>616</v>
      </c>
      <c r="F418" t="s">
        <v>588</v>
      </c>
      <c r="G418" s="212"/>
    </row>
    <row r="419" spans="1:7" x14ac:dyDescent="0.3">
      <c r="A419" s="157">
        <f t="shared" si="1"/>
        <v>5378</v>
      </c>
      <c r="B419" s="148">
        <v>42682</v>
      </c>
      <c r="C419" t="s">
        <v>732</v>
      </c>
      <c r="D419" s="193">
        <v>711.75</v>
      </c>
      <c r="E419" t="s">
        <v>445</v>
      </c>
      <c r="F419" t="s">
        <v>412</v>
      </c>
      <c r="G419" s="212"/>
    </row>
    <row r="420" spans="1:7" x14ac:dyDescent="0.3">
      <c r="A420" s="157">
        <f t="shared" si="1"/>
        <v>5379</v>
      </c>
      <c r="B420" s="148">
        <v>42684</v>
      </c>
      <c r="C420" t="s">
        <v>342</v>
      </c>
      <c r="D420" s="193">
        <v>838.11</v>
      </c>
      <c r="E420" t="s">
        <v>579</v>
      </c>
      <c r="F420" t="s">
        <v>386</v>
      </c>
      <c r="G420" s="212"/>
    </row>
    <row r="421" spans="1:7" x14ac:dyDescent="0.3">
      <c r="A421" s="157">
        <f t="shared" si="1"/>
        <v>5380</v>
      </c>
      <c r="B421" s="148">
        <v>42688</v>
      </c>
      <c r="C421" t="s">
        <v>766</v>
      </c>
      <c r="D421" s="193">
        <v>784.55</v>
      </c>
      <c r="E421" t="s">
        <v>403</v>
      </c>
      <c r="F421" t="s">
        <v>381</v>
      </c>
      <c r="G421" s="212"/>
    </row>
    <row r="422" spans="1:7" x14ac:dyDescent="0.3">
      <c r="A422" s="157">
        <f t="shared" si="1"/>
        <v>5381</v>
      </c>
      <c r="B422" s="148">
        <v>42691</v>
      </c>
      <c r="C422" t="s">
        <v>893</v>
      </c>
      <c r="D422" s="193">
        <v>189</v>
      </c>
      <c r="E422" t="s">
        <v>617</v>
      </c>
      <c r="F422" t="s">
        <v>384</v>
      </c>
      <c r="G422" s="212"/>
    </row>
    <row r="423" spans="1:7" x14ac:dyDescent="0.3">
      <c r="A423" s="157">
        <v>5382</v>
      </c>
      <c r="B423" s="148">
        <v>42691</v>
      </c>
      <c r="C423" t="s">
        <v>894</v>
      </c>
      <c r="D423" s="193">
        <v>129.55000000000001</v>
      </c>
      <c r="E423" t="s">
        <v>579</v>
      </c>
      <c r="F423" t="s">
        <v>384</v>
      </c>
      <c r="G423" s="212"/>
    </row>
    <row r="424" spans="1:7" x14ac:dyDescent="0.3">
      <c r="A424" s="157">
        <v>5383</v>
      </c>
      <c r="B424" s="148">
        <v>42704</v>
      </c>
      <c r="C424" t="s">
        <v>338</v>
      </c>
      <c r="D424" s="193">
        <v>575.46</v>
      </c>
      <c r="E424" t="s">
        <v>579</v>
      </c>
      <c r="F424" t="s">
        <v>382</v>
      </c>
      <c r="G424" s="212"/>
    </row>
    <row r="425" spans="1:7" x14ac:dyDescent="0.3">
      <c r="A425" s="157">
        <v>5384</v>
      </c>
      <c r="B425" s="148">
        <v>42705</v>
      </c>
      <c r="C425" t="s">
        <v>899</v>
      </c>
      <c r="D425" s="193">
        <v>2800</v>
      </c>
      <c r="E425" t="s">
        <v>812</v>
      </c>
      <c r="G425" s="212" t="s">
        <v>385</v>
      </c>
    </row>
    <row r="426" spans="1:7" x14ac:dyDescent="0.3">
      <c r="A426" s="157">
        <v>5385</v>
      </c>
      <c r="B426" s="148">
        <v>42715</v>
      </c>
      <c r="C426" t="s">
        <v>766</v>
      </c>
      <c r="D426" s="193">
        <v>543.67999999999995</v>
      </c>
      <c r="E426" t="s">
        <v>579</v>
      </c>
      <c r="F426" t="s">
        <v>381</v>
      </c>
      <c r="G426" s="212"/>
    </row>
    <row r="427" spans="1:7" x14ac:dyDescent="0.3">
      <c r="A427" s="157">
        <v>5386</v>
      </c>
      <c r="B427" s="148">
        <v>42715</v>
      </c>
      <c r="C427" t="s">
        <v>427</v>
      </c>
      <c r="D427" s="193">
        <v>55</v>
      </c>
      <c r="E427" t="s">
        <v>628</v>
      </c>
      <c r="G427" s="214" t="s">
        <v>385</v>
      </c>
    </row>
    <row r="428" spans="1:7" x14ac:dyDescent="0.3">
      <c r="A428" s="157">
        <v>5387</v>
      </c>
      <c r="B428" s="148">
        <v>42717</v>
      </c>
      <c r="C428" t="s">
        <v>732</v>
      </c>
      <c r="D428" s="193">
        <v>3750</v>
      </c>
      <c r="E428" t="s">
        <v>445</v>
      </c>
      <c r="F428" t="s">
        <v>552</v>
      </c>
      <c r="G428" s="211" t="s">
        <v>385</v>
      </c>
    </row>
    <row r="429" spans="1:7" x14ac:dyDescent="0.3">
      <c r="A429" s="157">
        <v>5388</v>
      </c>
      <c r="B429" s="148">
        <v>42744</v>
      </c>
      <c r="C429" t="s">
        <v>900</v>
      </c>
      <c r="D429" s="193">
        <v>104.64</v>
      </c>
      <c r="E429" t="s">
        <v>756</v>
      </c>
      <c r="F429" t="s">
        <v>386</v>
      </c>
      <c r="G429" s="215"/>
    </row>
    <row r="430" spans="1:7" x14ac:dyDescent="0.3">
      <c r="A430" s="157">
        <v>5389</v>
      </c>
      <c r="B430" s="148">
        <v>42755</v>
      </c>
      <c r="C430" t="s">
        <v>662</v>
      </c>
      <c r="D430" s="193">
        <v>303</v>
      </c>
      <c r="E430" t="s">
        <v>903</v>
      </c>
      <c r="F430" t="s">
        <v>447</v>
      </c>
      <c r="G430" s="215"/>
    </row>
    <row r="431" spans="1:7" x14ac:dyDescent="0.3">
      <c r="A431" s="157">
        <v>5390</v>
      </c>
      <c r="B431" s="148">
        <v>42755</v>
      </c>
      <c r="C431" t="s">
        <v>732</v>
      </c>
      <c r="D431" s="193">
        <v>613.72</v>
      </c>
      <c r="E431" t="s">
        <v>904</v>
      </c>
      <c r="F431" t="s">
        <v>384</v>
      </c>
      <c r="G431" s="215"/>
    </row>
    <row r="432" spans="1:7" x14ac:dyDescent="0.3">
      <c r="A432" s="157">
        <v>5391</v>
      </c>
      <c r="B432" s="148">
        <v>42758</v>
      </c>
      <c r="C432" t="s">
        <v>901</v>
      </c>
      <c r="D432" s="193">
        <v>1205</v>
      </c>
      <c r="E432" t="s">
        <v>582</v>
      </c>
      <c r="F432" t="s">
        <v>456</v>
      </c>
      <c r="G432" s="215"/>
    </row>
    <row r="433" spans="1:7" x14ac:dyDescent="0.3">
      <c r="A433" s="157">
        <v>5392</v>
      </c>
      <c r="B433" s="148">
        <v>42758</v>
      </c>
      <c r="C433" t="s">
        <v>339</v>
      </c>
      <c r="D433" s="193">
        <v>803.92</v>
      </c>
      <c r="E433" t="s">
        <v>854</v>
      </c>
      <c r="F433" t="s">
        <v>382</v>
      </c>
      <c r="G433" s="215"/>
    </row>
    <row r="434" spans="1:7" x14ac:dyDescent="0.3">
      <c r="A434" s="157">
        <v>5393</v>
      </c>
      <c r="B434" s="148">
        <v>42758</v>
      </c>
      <c r="C434" t="s">
        <v>902</v>
      </c>
      <c r="D434" s="193">
        <v>127.9</v>
      </c>
      <c r="E434" t="s">
        <v>905</v>
      </c>
      <c r="F434" t="s">
        <v>447</v>
      </c>
      <c r="G434" s="215"/>
    </row>
    <row r="435" spans="1:7" x14ac:dyDescent="0.3">
      <c r="A435" s="157">
        <v>5394</v>
      </c>
      <c r="B435" s="148">
        <v>42759</v>
      </c>
      <c r="C435" t="s">
        <v>732</v>
      </c>
      <c r="D435" s="193">
        <v>2038.56</v>
      </c>
      <c r="E435" t="s">
        <v>676</v>
      </c>
      <c r="F435" t="s">
        <v>512</v>
      </c>
      <c r="G435" s="215" t="s">
        <v>385</v>
      </c>
    </row>
    <row r="436" spans="1:7" x14ac:dyDescent="0.3">
      <c r="A436" s="157">
        <v>5395</v>
      </c>
      <c r="B436" s="148">
        <v>42759</v>
      </c>
      <c r="C436" t="s">
        <v>732</v>
      </c>
      <c r="D436" s="193">
        <v>1100</v>
      </c>
      <c r="E436" t="s">
        <v>676</v>
      </c>
      <c r="F436" t="s">
        <v>386</v>
      </c>
      <c r="G436" s="215"/>
    </row>
    <row r="437" spans="1:7" x14ac:dyDescent="0.3">
      <c r="A437" s="157">
        <v>5396</v>
      </c>
      <c r="B437" s="148">
        <v>42760</v>
      </c>
      <c r="C437" t="s">
        <v>501</v>
      </c>
      <c r="D437" s="193">
        <v>1183.68</v>
      </c>
      <c r="E437" t="s">
        <v>433</v>
      </c>
      <c r="F437" t="s">
        <v>549</v>
      </c>
      <c r="G437" s="215"/>
    </row>
    <row r="438" spans="1:7" x14ac:dyDescent="0.3">
      <c r="A438" s="157">
        <v>5397</v>
      </c>
      <c r="B438" s="148">
        <v>42765</v>
      </c>
      <c r="C438" t="s">
        <v>786</v>
      </c>
      <c r="D438" s="193">
        <v>190.3</v>
      </c>
      <c r="E438" t="s">
        <v>905</v>
      </c>
      <c r="F438" t="s">
        <v>549</v>
      </c>
      <c r="G438" s="215"/>
    </row>
    <row r="439" spans="1:7" x14ac:dyDescent="0.3">
      <c r="A439" s="157">
        <v>5398</v>
      </c>
      <c r="B439" s="148">
        <v>42775</v>
      </c>
      <c r="C439" t="s">
        <v>907</v>
      </c>
      <c r="D439" s="193">
        <v>50.41</v>
      </c>
      <c r="E439" t="s">
        <v>905</v>
      </c>
      <c r="F439" t="s">
        <v>456</v>
      </c>
      <c r="G439" s="216"/>
    </row>
    <row r="440" spans="1:7" x14ac:dyDescent="0.3">
      <c r="A440" s="157">
        <v>5399</v>
      </c>
      <c r="B440" s="148">
        <v>42779</v>
      </c>
      <c r="C440" t="s">
        <v>451</v>
      </c>
      <c r="D440" s="193">
        <v>255.46</v>
      </c>
      <c r="E440" t="s">
        <v>579</v>
      </c>
      <c r="F440" t="s">
        <v>552</v>
      </c>
      <c r="G440" s="216"/>
    </row>
    <row r="441" spans="1:7" x14ac:dyDescent="0.3">
      <c r="A441" s="157">
        <v>5400</v>
      </c>
      <c r="B441" s="148">
        <v>42781</v>
      </c>
      <c r="C441" t="s">
        <v>339</v>
      </c>
      <c r="D441" s="193">
        <v>1870.04</v>
      </c>
      <c r="E441" t="s">
        <v>445</v>
      </c>
      <c r="F441" t="s">
        <v>388</v>
      </c>
      <c r="G441" s="216"/>
    </row>
    <row r="442" spans="1:7" x14ac:dyDescent="0.3">
      <c r="A442" s="157">
        <v>5401</v>
      </c>
      <c r="B442" s="148">
        <v>42794</v>
      </c>
      <c r="C442" t="s">
        <v>732</v>
      </c>
      <c r="D442" s="193">
        <v>1550</v>
      </c>
      <c r="E442" t="s">
        <v>564</v>
      </c>
      <c r="F442" t="s">
        <v>549</v>
      </c>
      <c r="G442" s="216"/>
    </row>
    <row r="443" spans="1:7" x14ac:dyDescent="0.3">
      <c r="A443" s="157">
        <v>5402</v>
      </c>
      <c r="B443" s="148">
        <v>42794</v>
      </c>
      <c r="C443" t="s">
        <v>908</v>
      </c>
      <c r="D443" s="193">
        <v>3613.2</v>
      </c>
      <c r="E443" t="s">
        <v>401</v>
      </c>
      <c r="G443" s="216" t="s">
        <v>385</v>
      </c>
    </row>
    <row r="444" spans="1:7" x14ac:dyDescent="0.3">
      <c r="A444" s="157">
        <v>5403</v>
      </c>
      <c r="B444" s="148">
        <v>42794</v>
      </c>
      <c r="C444" t="s">
        <v>802</v>
      </c>
      <c r="D444" s="193">
        <v>1858.28</v>
      </c>
      <c r="E444" t="s">
        <v>401</v>
      </c>
      <c r="G444" s="216" t="s">
        <v>385</v>
      </c>
    </row>
    <row r="445" spans="1:7" x14ac:dyDescent="0.3">
      <c r="A445" s="157">
        <v>5404</v>
      </c>
      <c r="B445" s="148">
        <v>42800</v>
      </c>
      <c r="C445" t="s">
        <v>786</v>
      </c>
      <c r="D445" s="193">
        <v>1417.97</v>
      </c>
      <c r="E445" t="s">
        <v>550</v>
      </c>
      <c r="F445" t="s">
        <v>549</v>
      </c>
      <c r="G445" s="217"/>
    </row>
    <row r="446" spans="1:7" x14ac:dyDescent="0.3">
      <c r="A446" s="157">
        <v>5405</v>
      </c>
      <c r="B446" s="148">
        <v>42809</v>
      </c>
      <c r="C446" t="s">
        <v>477</v>
      </c>
      <c r="D446" s="193">
        <v>419.15</v>
      </c>
      <c r="E446" t="s">
        <v>857</v>
      </c>
      <c r="F446" t="s">
        <v>447</v>
      </c>
      <c r="G446" s="217"/>
    </row>
    <row r="447" spans="1:7" x14ac:dyDescent="0.3">
      <c r="A447" s="157">
        <v>5406</v>
      </c>
      <c r="B447" s="148">
        <v>42811</v>
      </c>
      <c r="C447" t="s">
        <v>909</v>
      </c>
      <c r="D447" s="193">
        <v>191.32</v>
      </c>
      <c r="E447" t="s">
        <v>910</v>
      </c>
      <c r="F447" t="s">
        <v>456</v>
      </c>
      <c r="G447" s="217"/>
    </row>
    <row r="448" spans="1:7" x14ac:dyDescent="0.3">
      <c r="A448" s="157">
        <v>5407</v>
      </c>
      <c r="B448" s="148">
        <v>42821</v>
      </c>
      <c r="C448" t="s">
        <v>500</v>
      </c>
      <c r="D448" s="193">
        <v>658.53</v>
      </c>
      <c r="E448" t="s">
        <v>445</v>
      </c>
      <c r="F448" t="s">
        <v>549</v>
      </c>
      <c r="G448" s="217"/>
    </row>
    <row r="449" spans="1:7" x14ac:dyDescent="0.3">
      <c r="A449" s="157">
        <v>5408</v>
      </c>
      <c r="B449" s="148">
        <v>42837</v>
      </c>
      <c r="C449" t="s">
        <v>338</v>
      </c>
      <c r="D449" s="193">
        <v>720</v>
      </c>
      <c r="E449" t="s">
        <v>912</v>
      </c>
      <c r="F449" t="s">
        <v>382</v>
      </c>
      <c r="G449" s="218"/>
    </row>
    <row r="450" spans="1:7" x14ac:dyDescent="0.3">
      <c r="A450" s="157">
        <v>5409</v>
      </c>
      <c r="B450" s="148">
        <v>42837</v>
      </c>
      <c r="C450" t="s">
        <v>474</v>
      </c>
      <c r="D450" s="193">
        <v>703.71</v>
      </c>
      <c r="E450" t="s">
        <v>436</v>
      </c>
      <c r="G450" s="218" t="s">
        <v>385</v>
      </c>
    </row>
    <row r="451" spans="1:7" x14ac:dyDescent="0.3">
      <c r="A451" s="157">
        <v>5410</v>
      </c>
      <c r="B451" s="148">
        <v>42844</v>
      </c>
      <c r="C451" t="s">
        <v>501</v>
      </c>
      <c r="D451" s="193">
        <v>341.31</v>
      </c>
      <c r="E451" t="s">
        <v>913</v>
      </c>
      <c r="F451" t="s">
        <v>549</v>
      </c>
      <c r="G451" s="218"/>
    </row>
    <row r="452" spans="1:7" x14ac:dyDescent="0.3">
      <c r="A452" s="157">
        <v>5411</v>
      </c>
      <c r="B452" s="148">
        <v>42846</v>
      </c>
      <c r="C452" t="s">
        <v>911</v>
      </c>
      <c r="D452" s="193">
        <v>3340</v>
      </c>
      <c r="E452" t="s">
        <v>914</v>
      </c>
      <c r="F452" t="s">
        <v>880</v>
      </c>
      <c r="G452" s="217" t="s">
        <v>385</v>
      </c>
    </row>
    <row r="453" spans="1:7" x14ac:dyDescent="0.3">
      <c r="A453" s="157">
        <v>5412</v>
      </c>
      <c r="B453" s="148">
        <v>42855</v>
      </c>
      <c r="C453" t="s">
        <v>851</v>
      </c>
      <c r="D453" s="193">
        <v>192.72</v>
      </c>
      <c r="E453" t="s">
        <v>403</v>
      </c>
      <c r="F453" t="s">
        <v>549</v>
      </c>
      <c r="G453" s="217"/>
    </row>
    <row r="454" spans="1:7" x14ac:dyDescent="0.3">
      <c r="A454" s="157">
        <v>5413</v>
      </c>
      <c r="B454" s="148">
        <v>42860</v>
      </c>
      <c r="C454" t="s">
        <v>350</v>
      </c>
      <c r="D454" s="193">
        <v>800</v>
      </c>
      <c r="E454" t="s">
        <v>890</v>
      </c>
      <c r="F454" t="s">
        <v>388</v>
      </c>
      <c r="G454" s="219"/>
    </row>
    <row r="455" spans="1:7" x14ac:dyDescent="0.3">
      <c r="A455" s="157">
        <v>5414</v>
      </c>
      <c r="B455" s="148">
        <v>42860</v>
      </c>
      <c r="C455" t="s">
        <v>916</v>
      </c>
      <c r="D455" s="193">
        <v>122.76</v>
      </c>
      <c r="E455" t="s">
        <v>905</v>
      </c>
      <c r="F455" t="s">
        <v>549</v>
      </c>
      <c r="G455" s="219"/>
    </row>
    <row r="456" spans="1:7" x14ac:dyDescent="0.3">
      <c r="A456" s="157">
        <v>5415</v>
      </c>
      <c r="B456" s="148">
        <v>42867</v>
      </c>
      <c r="C456" t="s">
        <v>917</v>
      </c>
      <c r="D456" s="193">
        <v>1250</v>
      </c>
      <c r="E456" t="s">
        <v>791</v>
      </c>
      <c r="F456" t="s">
        <v>388</v>
      </c>
      <c r="G456" s="219" t="s">
        <v>385</v>
      </c>
    </row>
    <row r="457" spans="1:7" x14ac:dyDescent="0.3">
      <c r="A457" s="157">
        <v>5416</v>
      </c>
      <c r="B457" s="148">
        <v>42877</v>
      </c>
      <c r="C457" t="s">
        <v>567</v>
      </c>
      <c r="D457" s="193">
        <v>439.32</v>
      </c>
      <c r="E457" t="s">
        <v>921</v>
      </c>
      <c r="F457" t="s">
        <v>507</v>
      </c>
      <c r="G457" s="219"/>
    </row>
    <row r="458" spans="1:7" x14ac:dyDescent="0.3">
      <c r="A458" s="157">
        <v>5417</v>
      </c>
      <c r="B458" s="148">
        <v>42877</v>
      </c>
      <c r="C458" t="s">
        <v>908</v>
      </c>
      <c r="D458" s="193">
        <v>439.32</v>
      </c>
      <c r="E458" t="s">
        <v>401</v>
      </c>
      <c r="G458" s="219" t="s">
        <v>385</v>
      </c>
    </row>
    <row r="459" spans="1:7" x14ac:dyDescent="0.3">
      <c r="A459" s="157">
        <v>5418</v>
      </c>
      <c r="B459" s="148">
        <v>42877</v>
      </c>
      <c r="C459" t="s">
        <v>908</v>
      </c>
      <c r="D459" s="193">
        <v>1332.95</v>
      </c>
      <c r="E459" t="s">
        <v>401</v>
      </c>
      <c r="G459" s="219" t="s">
        <v>385</v>
      </c>
    </row>
    <row r="460" spans="1:7" x14ac:dyDescent="0.3">
      <c r="A460" s="157">
        <v>5419</v>
      </c>
      <c r="B460" s="148">
        <v>42878</v>
      </c>
      <c r="C460" t="s">
        <v>918</v>
      </c>
      <c r="D460" s="193">
        <v>2092.4499999999998</v>
      </c>
      <c r="E460" t="s">
        <v>445</v>
      </c>
      <c r="F460" t="s">
        <v>552</v>
      </c>
      <c r="G460" s="219"/>
    </row>
    <row r="461" spans="1:7" x14ac:dyDescent="0.3">
      <c r="A461" s="157">
        <v>5420</v>
      </c>
      <c r="B461" s="148">
        <v>42880</v>
      </c>
      <c r="C461" t="s">
        <v>766</v>
      </c>
      <c r="D461" s="193">
        <v>299</v>
      </c>
      <c r="E461" t="s">
        <v>920</v>
      </c>
      <c r="G461" s="219" t="s">
        <v>385</v>
      </c>
    </row>
    <row r="462" spans="1:7" x14ac:dyDescent="0.3">
      <c r="A462" s="157">
        <v>5421</v>
      </c>
      <c r="B462" s="148">
        <v>42885</v>
      </c>
      <c r="C462" t="s">
        <v>786</v>
      </c>
      <c r="D462" s="193">
        <v>392.72</v>
      </c>
      <c r="E462" t="s">
        <v>857</v>
      </c>
      <c r="F462" t="s">
        <v>549</v>
      </c>
      <c r="G462" s="219"/>
    </row>
    <row r="463" spans="1:7" x14ac:dyDescent="0.3">
      <c r="A463" s="157">
        <v>5422</v>
      </c>
      <c r="B463" s="148">
        <v>42888</v>
      </c>
      <c r="C463" t="s">
        <v>443</v>
      </c>
      <c r="D463" s="193">
        <v>1890.65</v>
      </c>
      <c r="E463" t="s">
        <v>550</v>
      </c>
      <c r="F463" t="s">
        <v>507</v>
      </c>
      <c r="G463" s="220"/>
    </row>
    <row r="464" spans="1:7" x14ac:dyDescent="0.3">
      <c r="A464" s="157">
        <v>5423</v>
      </c>
      <c r="B464" s="148">
        <v>42892</v>
      </c>
      <c r="C464" t="s">
        <v>922</v>
      </c>
      <c r="D464" s="193">
        <v>1297.79</v>
      </c>
      <c r="E464" t="s">
        <v>873</v>
      </c>
      <c r="F464" t="s">
        <v>588</v>
      </c>
      <c r="G464" s="220"/>
    </row>
    <row r="465" spans="1:7" x14ac:dyDescent="0.3">
      <c r="A465" s="157">
        <v>5424</v>
      </c>
      <c r="B465" s="148">
        <v>42893</v>
      </c>
      <c r="C465" t="s">
        <v>786</v>
      </c>
      <c r="D465" s="193">
        <v>1904.25</v>
      </c>
      <c r="E465" t="s">
        <v>550</v>
      </c>
      <c r="F465" t="s">
        <v>549</v>
      </c>
      <c r="G465" s="220"/>
    </row>
    <row r="466" spans="1:7" x14ac:dyDescent="0.3">
      <c r="A466" s="157">
        <v>5425</v>
      </c>
      <c r="B466" s="148">
        <v>42893</v>
      </c>
      <c r="C466" t="s">
        <v>923</v>
      </c>
      <c r="D466" s="193">
        <v>240.2</v>
      </c>
      <c r="E466" t="s">
        <v>579</v>
      </c>
      <c r="F466" t="s">
        <v>549</v>
      </c>
      <c r="G466" s="220"/>
    </row>
    <row r="467" spans="1:7" x14ac:dyDescent="0.3">
      <c r="A467" s="157">
        <v>5426</v>
      </c>
      <c r="B467" s="148">
        <v>42894</v>
      </c>
      <c r="C467" t="s">
        <v>924</v>
      </c>
      <c r="D467" s="193">
        <v>316.57</v>
      </c>
      <c r="E467" t="s">
        <v>857</v>
      </c>
      <c r="F467" t="s">
        <v>549</v>
      </c>
      <c r="G467" s="220"/>
    </row>
    <row r="468" spans="1:7" x14ac:dyDescent="0.3">
      <c r="A468" s="157">
        <v>5427</v>
      </c>
      <c r="B468" s="148">
        <v>42898</v>
      </c>
      <c r="C468" t="s">
        <v>443</v>
      </c>
      <c r="D468" s="193">
        <v>81.69</v>
      </c>
      <c r="E468" t="s">
        <v>926</v>
      </c>
      <c r="G468" s="221" t="s">
        <v>385</v>
      </c>
    </row>
    <row r="469" spans="1:7" x14ac:dyDescent="0.3">
      <c r="A469" s="157">
        <v>5428</v>
      </c>
      <c r="B469" s="148">
        <v>42899</v>
      </c>
      <c r="C469" t="s">
        <v>732</v>
      </c>
      <c r="D469" s="193">
        <v>3364.72</v>
      </c>
      <c r="E469" t="s">
        <v>927</v>
      </c>
      <c r="F469" t="s">
        <v>530</v>
      </c>
      <c r="G469" s="221" t="s">
        <v>385</v>
      </c>
    </row>
    <row r="470" spans="1:7" x14ac:dyDescent="0.3">
      <c r="A470" s="157">
        <v>5429</v>
      </c>
      <c r="B470" s="148">
        <v>42899</v>
      </c>
      <c r="C470" t="s">
        <v>732</v>
      </c>
      <c r="D470" s="193">
        <v>11000</v>
      </c>
      <c r="E470" t="s">
        <v>531</v>
      </c>
      <c r="G470" s="222" t="s">
        <v>385</v>
      </c>
    </row>
    <row r="471" spans="1:7" x14ac:dyDescent="0.3">
      <c r="A471" s="157">
        <v>5430</v>
      </c>
      <c r="B471" s="148">
        <v>42899</v>
      </c>
      <c r="C471" t="s">
        <v>732</v>
      </c>
      <c r="D471" s="193">
        <v>922.5</v>
      </c>
      <c r="E471" t="s">
        <v>928</v>
      </c>
      <c r="F471" t="s">
        <v>588</v>
      </c>
      <c r="G471" s="222"/>
    </row>
    <row r="472" spans="1:7" x14ac:dyDescent="0.3">
      <c r="A472" s="157">
        <v>5431</v>
      </c>
      <c r="B472" s="148">
        <v>42901</v>
      </c>
      <c r="C472" t="s">
        <v>929</v>
      </c>
      <c r="D472" s="193">
        <v>4875</v>
      </c>
      <c r="E472" t="s">
        <v>724</v>
      </c>
      <c r="G472" s="223" t="s">
        <v>385</v>
      </c>
    </row>
    <row r="473" spans="1:7" x14ac:dyDescent="0.3">
      <c r="A473" s="157">
        <v>5432</v>
      </c>
      <c r="B473" s="148">
        <v>42902</v>
      </c>
      <c r="C473" t="s">
        <v>732</v>
      </c>
      <c r="D473" s="193">
        <v>1444</v>
      </c>
      <c r="E473" t="s">
        <v>928</v>
      </c>
      <c r="F473" t="s">
        <v>388</v>
      </c>
      <c r="G473" s="223"/>
    </row>
    <row r="474" spans="1:7" x14ac:dyDescent="0.3">
      <c r="A474" s="157">
        <v>5433</v>
      </c>
      <c r="B474" s="148">
        <v>42907</v>
      </c>
      <c r="C474" t="s">
        <v>353</v>
      </c>
      <c r="D474" s="193">
        <v>718.8</v>
      </c>
      <c r="E474" t="s">
        <v>531</v>
      </c>
      <c r="F474" t="s">
        <v>381</v>
      </c>
      <c r="G474" s="222" t="s">
        <v>385</v>
      </c>
    </row>
    <row r="475" spans="1:7" x14ac:dyDescent="0.3">
      <c r="A475" s="157">
        <v>5434</v>
      </c>
      <c r="B475" s="148">
        <v>42916</v>
      </c>
      <c r="C475" t="s">
        <v>867</v>
      </c>
      <c r="D475" s="193">
        <v>318.54000000000002</v>
      </c>
      <c r="E475" t="s">
        <v>511</v>
      </c>
      <c r="F475" t="s">
        <v>382</v>
      </c>
      <c r="G475" s="224"/>
    </row>
    <row r="476" spans="1:7" x14ac:dyDescent="0.3">
      <c r="A476" s="157">
        <v>5435</v>
      </c>
      <c r="B476" s="148">
        <v>42921</v>
      </c>
      <c r="C476" t="s">
        <v>932</v>
      </c>
      <c r="D476" s="193">
        <v>10</v>
      </c>
      <c r="E476" t="s">
        <v>936</v>
      </c>
      <c r="G476" s="225" t="s">
        <v>385</v>
      </c>
    </row>
    <row r="477" spans="1:7" x14ac:dyDescent="0.3">
      <c r="A477" s="157">
        <v>5436</v>
      </c>
      <c r="B477" s="148">
        <v>42921</v>
      </c>
      <c r="C477" t="s">
        <v>933</v>
      </c>
      <c r="D477" s="193">
        <v>767</v>
      </c>
      <c r="E477" t="s">
        <v>585</v>
      </c>
      <c r="F477" t="s">
        <v>382</v>
      </c>
      <c r="G477" s="225"/>
    </row>
    <row r="478" spans="1:7" x14ac:dyDescent="0.3">
      <c r="A478" s="157">
        <v>5437</v>
      </c>
      <c r="B478" s="148">
        <v>42947</v>
      </c>
      <c r="C478" t="s">
        <v>934</v>
      </c>
      <c r="D478" s="193">
        <v>2000</v>
      </c>
      <c r="E478" t="s">
        <v>873</v>
      </c>
      <c r="F478" t="s">
        <v>588</v>
      </c>
      <c r="G478" s="225"/>
    </row>
    <row r="479" spans="1:7" x14ac:dyDescent="0.3">
      <c r="A479" s="157" t="s">
        <v>938</v>
      </c>
      <c r="B479" s="148">
        <v>42950</v>
      </c>
      <c r="C479" t="s">
        <v>935</v>
      </c>
      <c r="D479" s="193">
        <v>1595</v>
      </c>
      <c r="E479" t="s">
        <v>937</v>
      </c>
      <c r="G479" s="225" t="s">
        <v>385</v>
      </c>
    </row>
    <row r="480" spans="1:7" x14ac:dyDescent="0.3">
      <c r="A480" s="157">
        <v>5438</v>
      </c>
      <c r="B480" s="148">
        <v>42964</v>
      </c>
      <c r="C480" t="s">
        <v>477</v>
      </c>
      <c r="D480" s="193">
        <v>2604.35</v>
      </c>
      <c r="E480" t="s">
        <v>403</v>
      </c>
      <c r="F480" t="s">
        <v>382</v>
      </c>
      <c r="G480" s="225"/>
    </row>
    <row r="481" spans="1:7" x14ac:dyDescent="0.3">
      <c r="A481" s="157">
        <v>5439</v>
      </c>
      <c r="B481" s="148">
        <v>42975</v>
      </c>
      <c r="C481" t="s">
        <v>753</v>
      </c>
      <c r="D481" s="193">
        <v>30</v>
      </c>
      <c r="E481" t="s">
        <v>575</v>
      </c>
      <c r="G481" s="226" t="s">
        <v>385</v>
      </c>
    </row>
    <row r="482" spans="1:7" x14ac:dyDescent="0.3">
      <c r="A482" s="157">
        <v>5440</v>
      </c>
      <c r="B482" s="148">
        <v>42975</v>
      </c>
      <c r="C482" t="s">
        <v>940</v>
      </c>
      <c r="D482" s="193">
        <v>30</v>
      </c>
      <c r="E482" t="s">
        <v>575</v>
      </c>
      <c r="G482" s="226" t="s">
        <v>385</v>
      </c>
    </row>
    <row r="483" spans="1:7" x14ac:dyDescent="0.3">
      <c r="A483" s="157">
        <v>5441</v>
      </c>
      <c r="B483" s="148">
        <v>42975</v>
      </c>
      <c r="C483" t="s">
        <v>941</v>
      </c>
      <c r="D483" s="193">
        <v>30</v>
      </c>
      <c r="E483" t="s">
        <v>575</v>
      </c>
      <c r="G483" s="226" t="s">
        <v>385</v>
      </c>
    </row>
    <row r="484" spans="1:7" x14ac:dyDescent="0.3">
      <c r="A484" s="157">
        <v>5442</v>
      </c>
      <c r="B484" s="148">
        <v>42975</v>
      </c>
      <c r="C484" t="s">
        <v>342</v>
      </c>
      <c r="D484" s="193">
        <v>30</v>
      </c>
      <c r="E484" t="s">
        <v>575</v>
      </c>
      <c r="G484" s="226" t="s">
        <v>385</v>
      </c>
    </row>
    <row r="485" spans="1:7" x14ac:dyDescent="0.3">
      <c r="A485" s="157">
        <v>5443</v>
      </c>
      <c r="B485" s="148">
        <v>42975</v>
      </c>
      <c r="C485" t="s">
        <v>942</v>
      </c>
      <c r="D485" s="193">
        <v>30</v>
      </c>
      <c r="E485" t="s">
        <v>575</v>
      </c>
      <c r="G485" s="226" t="s">
        <v>385</v>
      </c>
    </row>
    <row r="486" spans="1:7" x14ac:dyDescent="0.3">
      <c r="A486" s="157">
        <v>5444</v>
      </c>
      <c r="B486" s="148">
        <v>42975</v>
      </c>
      <c r="C486" t="s">
        <v>943</v>
      </c>
      <c r="D486" s="193">
        <v>30</v>
      </c>
      <c r="E486" t="s">
        <v>575</v>
      </c>
      <c r="G486" s="226" t="s">
        <v>385</v>
      </c>
    </row>
    <row r="487" spans="1:7" x14ac:dyDescent="0.3">
      <c r="A487" s="157">
        <v>5445</v>
      </c>
      <c r="B487" s="148">
        <v>42975</v>
      </c>
      <c r="C487" t="s">
        <v>338</v>
      </c>
      <c r="D487" s="193">
        <v>30</v>
      </c>
      <c r="E487" t="s">
        <v>575</v>
      </c>
      <c r="G487" s="226" t="s">
        <v>385</v>
      </c>
    </row>
    <row r="488" spans="1:7" x14ac:dyDescent="0.3">
      <c r="A488" s="157">
        <v>5446</v>
      </c>
      <c r="B488" s="148">
        <v>42975</v>
      </c>
      <c r="C488" t="s">
        <v>944</v>
      </c>
      <c r="D488" s="193">
        <v>30</v>
      </c>
      <c r="E488" t="s">
        <v>575</v>
      </c>
      <c r="G488" s="226" t="s">
        <v>385</v>
      </c>
    </row>
    <row r="489" spans="1:7" x14ac:dyDescent="0.3">
      <c r="A489" s="157">
        <v>5447</v>
      </c>
      <c r="B489" s="148">
        <v>42975</v>
      </c>
      <c r="C489" t="s">
        <v>945</v>
      </c>
      <c r="D489" s="193">
        <v>30</v>
      </c>
      <c r="E489" t="s">
        <v>575</v>
      </c>
      <c r="G489" s="226" t="s">
        <v>385</v>
      </c>
    </row>
    <row r="490" spans="1:7" x14ac:dyDescent="0.3">
      <c r="A490" s="157">
        <v>5448</v>
      </c>
      <c r="B490" s="148">
        <v>42979</v>
      </c>
      <c r="C490" t="s">
        <v>443</v>
      </c>
      <c r="D490" s="193">
        <v>190.25</v>
      </c>
      <c r="E490" t="s">
        <v>745</v>
      </c>
      <c r="G490" s="227" t="s">
        <v>385</v>
      </c>
    </row>
    <row r="491" spans="1:7" x14ac:dyDescent="0.3">
      <c r="A491" s="157">
        <v>5449</v>
      </c>
      <c r="B491" s="148">
        <v>42993</v>
      </c>
      <c r="C491" t="s">
        <v>947</v>
      </c>
      <c r="D491" s="193">
        <v>49.35</v>
      </c>
      <c r="E491" t="s">
        <v>949</v>
      </c>
      <c r="F491" t="s">
        <v>386</v>
      </c>
      <c r="G491" s="227"/>
    </row>
    <row r="492" spans="1:7" x14ac:dyDescent="0.3">
      <c r="A492" s="157">
        <v>5450</v>
      </c>
      <c r="B492" s="148">
        <v>42993</v>
      </c>
      <c r="C492" t="s">
        <v>742</v>
      </c>
      <c r="D492" s="193">
        <v>331.25</v>
      </c>
      <c r="E492" t="s">
        <v>366</v>
      </c>
      <c r="F492" t="s">
        <v>588</v>
      </c>
      <c r="G492" s="227"/>
    </row>
    <row r="493" spans="1:7" x14ac:dyDescent="0.3">
      <c r="A493" s="157">
        <v>5451</v>
      </c>
      <c r="B493" s="148">
        <v>42993</v>
      </c>
      <c r="C493" t="s">
        <v>808</v>
      </c>
      <c r="D493" s="193">
        <v>671.47</v>
      </c>
      <c r="E493" t="s">
        <v>950</v>
      </c>
      <c r="F493" t="s">
        <v>382</v>
      </c>
      <c r="G493" s="227"/>
    </row>
    <row r="494" spans="1:7" x14ac:dyDescent="0.3">
      <c r="A494" s="157">
        <v>5452</v>
      </c>
      <c r="B494" s="148">
        <v>42993</v>
      </c>
      <c r="C494" t="s">
        <v>649</v>
      </c>
      <c r="D494" s="193">
        <v>315.01</v>
      </c>
      <c r="E494" t="s">
        <v>951</v>
      </c>
      <c r="F494" t="s">
        <v>588</v>
      </c>
      <c r="G494" s="227"/>
    </row>
    <row r="495" spans="1:7" x14ac:dyDescent="0.3">
      <c r="A495" s="157">
        <v>5453</v>
      </c>
      <c r="B495" s="148">
        <v>42998</v>
      </c>
      <c r="C495" t="s">
        <v>338</v>
      </c>
      <c r="D495" s="193">
        <v>389.2</v>
      </c>
      <c r="E495" t="s">
        <v>952</v>
      </c>
      <c r="F495" t="s">
        <v>382</v>
      </c>
      <c r="G495" s="227"/>
    </row>
    <row r="496" spans="1:7" x14ac:dyDescent="0.3">
      <c r="A496" s="157">
        <v>5454</v>
      </c>
      <c r="B496" s="148">
        <v>42998</v>
      </c>
      <c r="C496" t="s">
        <v>948</v>
      </c>
      <c r="D496" s="193">
        <v>85.25</v>
      </c>
      <c r="E496" t="s">
        <v>953</v>
      </c>
      <c r="F496" t="s">
        <v>382</v>
      </c>
      <c r="G496" s="227"/>
    </row>
    <row r="497" spans="1:7" x14ac:dyDescent="0.3">
      <c r="A497" s="157">
        <v>5455</v>
      </c>
      <c r="B497" s="148">
        <v>43000</v>
      </c>
      <c r="C497" t="s">
        <v>350</v>
      </c>
      <c r="D497" s="193">
        <v>1680</v>
      </c>
      <c r="E497" t="s">
        <v>597</v>
      </c>
      <c r="F497" t="s">
        <v>382</v>
      </c>
      <c r="G497" s="227"/>
    </row>
    <row r="498" spans="1:7" x14ac:dyDescent="0.3">
      <c r="A498" s="157">
        <v>5456</v>
      </c>
      <c r="B498" s="148">
        <v>43010</v>
      </c>
      <c r="C498" t="s">
        <v>899</v>
      </c>
      <c r="D498" s="193">
        <v>1000</v>
      </c>
      <c r="E498" t="s">
        <v>956</v>
      </c>
      <c r="G498" s="227" t="s">
        <v>385</v>
      </c>
    </row>
    <row r="499" spans="1:7" x14ac:dyDescent="0.3">
      <c r="A499" s="157">
        <v>5457</v>
      </c>
      <c r="B499" s="148">
        <v>43012</v>
      </c>
      <c r="C499" t="s">
        <v>338</v>
      </c>
      <c r="D499" s="193">
        <v>525</v>
      </c>
      <c r="E499" t="s">
        <v>957</v>
      </c>
      <c r="F499" t="s">
        <v>382</v>
      </c>
      <c r="G499" s="227"/>
    </row>
    <row r="500" spans="1:7" x14ac:dyDescent="0.3">
      <c r="A500" s="157">
        <v>5458</v>
      </c>
      <c r="B500" s="148">
        <v>43025</v>
      </c>
      <c r="C500" t="s">
        <v>649</v>
      </c>
      <c r="D500" s="193">
        <v>173.51</v>
      </c>
      <c r="E500" t="s">
        <v>951</v>
      </c>
      <c r="F500" t="s">
        <v>588</v>
      </c>
      <c r="G500" s="228"/>
    </row>
    <row r="501" spans="1:7" x14ac:dyDescent="0.3">
      <c r="A501" s="157">
        <v>5459</v>
      </c>
      <c r="B501" s="148">
        <v>43025</v>
      </c>
      <c r="C501" t="s">
        <v>955</v>
      </c>
      <c r="D501" s="193">
        <v>465.62</v>
      </c>
      <c r="E501" t="s">
        <v>958</v>
      </c>
      <c r="F501" t="s">
        <v>588</v>
      </c>
      <c r="G501" s="228"/>
    </row>
    <row r="502" spans="1:7" x14ac:dyDescent="0.3">
      <c r="A502" s="157">
        <v>5460</v>
      </c>
      <c r="B502" s="148">
        <v>43027</v>
      </c>
      <c r="C502" t="s">
        <v>766</v>
      </c>
      <c r="D502" s="193">
        <v>297.83999999999997</v>
      </c>
      <c r="E502" t="s">
        <v>959</v>
      </c>
      <c r="F502" t="s">
        <v>381</v>
      </c>
      <c r="G502" s="228"/>
    </row>
    <row r="503" spans="1:7" x14ac:dyDescent="0.3">
      <c r="A503" s="157" t="s">
        <v>938</v>
      </c>
      <c r="B503" s="148">
        <v>43055</v>
      </c>
      <c r="C503" t="s">
        <v>918</v>
      </c>
      <c r="D503" s="193">
        <v>4587.32</v>
      </c>
      <c r="E503" t="s">
        <v>960</v>
      </c>
      <c r="F503" t="s">
        <v>828</v>
      </c>
      <c r="G503" s="229"/>
    </row>
    <row r="504" spans="1:7" x14ac:dyDescent="0.3">
      <c r="A504" s="157">
        <v>5461</v>
      </c>
      <c r="B504" s="148">
        <v>43045</v>
      </c>
      <c r="C504" t="s">
        <v>400</v>
      </c>
      <c r="D504" s="193">
        <v>795</v>
      </c>
      <c r="E504" t="s">
        <v>362</v>
      </c>
      <c r="G504" s="228" t="s">
        <v>385</v>
      </c>
    </row>
    <row r="505" spans="1:7" x14ac:dyDescent="0.3">
      <c r="A505" s="157">
        <v>5462</v>
      </c>
      <c r="B505" s="148">
        <v>43055</v>
      </c>
      <c r="C505" t="s">
        <v>778</v>
      </c>
      <c r="D505" s="193">
        <v>141.91999999999999</v>
      </c>
      <c r="E505" t="s">
        <v>961</v>
      </c>
      <c r="F505" t="s">
        <v>384</v>
      </c>
      <c r="G505" s="228"/>
    </row>
    <row r="506" spans="1:7" x14ac:dyDescent="0.3">
      <c r="A506" s="157">
        <v>5463</v>
      </c>
      <c r="B506" s="148">
        <v>43058</v>
      </c>
      <c r="C506" t="s">
        <v>649</v>
      </c>
      <c r="D506" s="193">
        <v>149.05000000000001</v>
      </c>
      <c r="E506" t="s">
        <v>962</v>
      </c>
      <c r="F506" t="s">
        <v>588</v>
      </c>
      <c r="G506" s="228"/>
    </row>
    <row r="507" spans="1:7" x14ac:dyDescent="0.3">
      <c r="A507" s="157">
        <v>5464</v>
      </c>
      <c r="B507" s="148">
        <v>43058</v>
      </c>
      <c r="C507" t="s">
        <v>963</v>
      </c>
      <c r="D507" s="193">
        <v>100.38</v>
      </c>
      <c r="E507" t="s">
        <v>417</v>
      </c>
      <c r="F507" t="s">
        <v>5</v>
      </c>
      <c r="G507" s="228"/>
    </row>
    <row r="508" spans="1:7" x14ac:dyDescent="0.3">
      <c r="A508" s="157">
        <v>5465</v>
      </c>
      <c r="B508" s="148">
        <v>43058</v>
      </c>
      <c r="C508" t="s">
        <v>964</v>
      </c>
      <c r="D508" s="193">
        <v>346.68</v>
      </c>
      <c r="E508" t="s">
        <v>417</v>
      </c>
      <c r="F508" t="s">
        <v>8</v>
      </c>
      <c r="G508" s="228"/>
    </row>
    <row r="509" spans="1:7" x14ac:dyDescent="0.3">
      <c r="A509" s="157">
        <v>5466</v>
      </c>
      <c r="B509" s="148">
        <v>43058</v>
      </c>
      <c r="C509" t="s">
        <v>965</v>
      </c>
      <c r="D509" s="230" t="s">
        <v>965</v>
      </c>
      <c r="G509" s="228"/>
    </row>
    <row r="510" spans="1:7" x14ac:dyDescent="0.3">
      <c r="A510" s="157">
        <v>5467</v>
      </c>
      <c r="B510" s="148">
        <v>43058</v>
      </c>
      <c r="C510" t="s">
        <v>766</v>
      </c>
      <c r="D510" s="231">
        <v>1166</v>
      </c>
      <c r="E510" t="s">
        <v>738</v>
      </c>
      <c r="F510" t="s">
        <v>966</v>
      </c>
      <c r="G510" s="228"/>
    </row>
    <row r="511" spans="1:7" x14ac:dyDescent="0.3">
      <c r="A511" s="157">
        <v>5468</v>
      </c>
      <c r="B511" s="148">
        <v>43058</v>
      </c>
      <c r="C511" t="s">
        <v>965</v>
      </c>
      <c r="D511" s="233" t="s">
        <v>965</v>
      </c>
      <c r="E511" t="s">
        <v>961</v>
      </c>
      <c r="F511" t="s">
        <v>967</v>
      </c>
      <c r="G511" s="211"/>
    </row>
    <row r="512" spans="1:7" x14ac:dyDescent="0.3">
      <c r="A512" s="157">
        <v>5469</v>
      </c>
      <c r="B512" s="148">
        <v>43060</v>
      </c>
      <c r="C512" t="s">
        <v>944</v>
      </c>
      <c r="D512" s="193">
        <v>117.58</v>
      </c>
      <c r="E512" t="s">
        <v>952</v>
      </c>
      <c r="F512" t="s">
        <v>382</v>
      </c>
      <c r="G512" s="229"/>
    </row>
    <row r="513" spans="1:7" x14ac:dyDescent="0.3">
      <c r="A513" s="157">
        <v>5470</v>
      </c>
      <c r="B513" s="148">
        <v>43067</v>
      </c>
      <c r="C513" t="s">
        <v>941</v>
      </c>
      <c r="D513" s="193">
        <v>219.8</v>
      </c>
      <c r="E513" t="s">
        <v>968</v>
      </c>
      <c r="F513" t="s">
        <v>8</v>
      </c>
      <c r="G513" s="229"/>
    </row>
    <row r="514" spans="1:7" x14ac:dyDescent="0.3">
      <c r="A514" s="157">
        <v>5471</v>
      </c>
      <c r="B514" s="148">
        <v>43067</v>
      </c>
      <c r="C514" t="s">
        <v>766</v>
      </c>
      <c r="D514" s="193">
        <v>260</v>
      </c>
      <c r="E514" t="s">
        <v>857</v>
      </c>
      <c r="F514" t="s">
        <v>969</v>
      </c>
      <c r="G514" s="229"/>
    </row>
    <row r="515" spans="1:7" x14ac:dyDescent="0.3">
      <c r="A515" s="157">
        <v>5472</v>
      </c>
      <c r="B515" s="148">
        <v>43079</v>
      </c>
      <c r="C515" t="s">
        <v>970</v>
      </c>
      <c r="D515" s="179">
        <v>42.88</v>
      </c>
      <c r="E515" t="s">
        <v>971</v>
      </c>
      <c r="F515" t="s">
        <v>8</v>
      </c>
      <c r="G515" s="229"/>
    </row>
    <row r="516" spans="1:7" x14ac:dyDescent="0.3">
      <c r="A516" s="157">
        <v>5473</v>
      </c>
      <c r="B516" s="148">
        <v>43079</v>
      </c>
      <c r="C516" t="s">
        <v>972</v>
      </c>
      <c r="D516" s="193">
        <v>286.27</v>
      </c>
      <c r="E516" t="s">
        <v>974</v>
      </c>
      <c r="F516" t="s">
        <v>973</v>
      </c>
      <c r="G516" s="229"/>
    </row>
    <row r="517" spans="1:7" x14ac:dyDescent="0.3">
      <c r="A517" s="157">
        <v>5474</v>
      </c>
      <c r="B517" s="148">
        <v>43079</v>
      </c>
      <c r="C517" t="s">
        <v>975</v>
      </c>
      <c r="D517" s="193">
        <v>102.17</v>
      </c>
      <c r="E517" t="s">
        <v>976</v>
      </c>
      <c r="F517" t="s">
        <v>8</v>
      </c>
      <c r="G517" s="229"/>
    </row>
    <row r="518" spans="1:7" x14ac:dyDescent="0.3">
      <c r="A518" s="157">
        <v>5475</v>
      </c>
      <c r="B518" s="148">
        <v>43080</v>
      </c>
      <c r="C518" t="s">
        <v>977</v>
      </c>
      <c r="D518" s="193">
        <v>550</v>
      </c>
      <c r="E518" t="s">
        <v>978</v>
      </c>
      <c r="F518" t="s">
        <v>979</v>
      </c>
      <c r="G518" s="229"/>
    </row>
    <row r="519" spans="1:7" x14ac:dyDescent="0.3">
      <c r="A519" s="157">
        <v>5476</v>
      </c>
      <c r="B519" s="148">
        <v>43080</v>
      </c>
      <c r="C519" t="s">
        <v>427</v>
      </c>
      <c r="D519" s="193">
        <v>55</v>
      </c>
      <c r="E519" t="s">
        <v>435</v>
      </c>
      <c r="G519" s="229" t="s">
        <v>385</v>
      </c>
    </row>
    <row r="520" spans="1:7" x14ac:dyDescent="0.3">
      <c r="A520" s="157">
        <v>5477</v>
      </c>
      <c r="B520" s="148">
        <v>43081</v>
      </c>
      <c r="C520" t="s">
        <v>980</v>
      </c>
      <c r="D520" s="193">
        <v>1730</v>
      </c>
      <c r="E520" t="s">
        <v>988</v>
      </c>
      <c r="F520" t="s">
        <v>981</v>
      </c>
      <c r="G520" s="229" t="s">
        <v>385</v>
      </c>
    </row>
    <row r="521" spans="1:7" x14ac:dyDescent="0.3">
      <c r="A521" s="157">
        <v>5478</v>
      </c>
      <c r="B521" s="148">
        <v>43081</v>
      </c>
      <c r="C521" t="s">
        <v>980</v>
      </c>
      <c r="D521" s="193">
        <v>1730</v>
      </c>
      <c r="E521" t="s">
        <v>989</v>
      </c>
      <c r="F521" t="s">
        <v>835</v>
      </c>
      <c r="G521" s="229"/>
    </row>
    <row r="522" spans="1:7" x14ac:dyDescent="0.3">
      <c r="A522" s="157">
        <v>5479</v>
      </c>
      <c r="B522" s="148">
        <v>43088</v>
      </c>
      <c r="C522" t="s">
        <v>350</v>
      </c>
      <c r="D522" s="193">
        <v>1200</v>
      </c>
      <c r="E522" t="s">
        <v>982</v>
      </c>
      <c r="F522" t="s">
        <v>552</v>
      </c>
      <c r="G522" s="229"/>
    </row>
    <row r="523" spans="1:7" x14ac:dyDescent="0.3">
      <c r="A523" s="157">
        <v>5480</v>
      </c>
      <c r="B523" s="148">
        <v>43088</v>
      </c>
      <c r="C523" t="s">
        <v>649</v>
      </c>
      <c r="D523" s="193">
        <v>68</v>
      </c>
      <c r="E523" t="s">
        <v>983</v>
      </c>
      <c r="F523" t="s">
        <v>588</v>
      </c>
      <c r="G523" s="229"/>
    </row>
    <row r="524" spans="1:7" x14ac:dyDescent="0.3">
      <c r="A524" s="157">
        <v>5481</v>
      </c>
      <c r="B524" s="148">
        <v>43088</v>
      </c>
      <c r="C524" t="s">
        <v>984</v>
      </c>
      <c r="D524" s="193">
        <v>36</v>
      </c>
      <c r="E524" t="s">
        <v>983</v>
      </c>
      <c r="F524" t="s">
        <v>588</v>
      </c>
      <c r="G524" s="232"/>
    </row>
    <row r="525" spans="1:7" x14ac:dyDescent="0.3">
      <c r="A525" s="157">
        <v>5482</v>
      </c>
      <c r="B525" s="148">
        <v>43090</v>
      </c>
      <c r="C525" t="s">
        <v>659</v>
      </c>
      <c r="D525" s="193">
        <v>402.72</v>
      </c>
      <c r="E525" t="s">
        <v>961</v>
      </c>
      <c r="F525" t="s">
        <v>386</v>
      </c>
      <c r="G525" s="232"/>
    </row>
    <row r="526" spans="1:7" x14ac:dyDescent="0.3">
      <c r="A526" s="157">
        <v>5483</v>
      </c>
      <c r="B526" s="148">
        <v>43091</v>
      </c>
      <c r="C526" t="s">
        <v>985</v>
      </c>
      <c r="D526" s="193">
        <v>1000</v>
      </c>
      <c r="E526" t="s">
        <v>986</v>
      </c>
      <c r="F526" t="s">
        <v>552</v>
      </c>
      <c r="G526" s="232"/>
    </row>
    <row r="527" spans="1:7" x14ac:dyDescent="0.3">
      <c r="A527" s="157">
        <v>5484</v>
      </c>
      <c r="B527" s="148">
        <v>43091</v>
      </c>
      <c r="C527" t="s">
        <v>987</v>
      </c>
      <c r="D527" s="233" t="s">
        <v>965</v>
      </c>
      <c r="E527" t="s">
        <v>986</v>
      </c>
      <c r="F527" t="s">
        <v>552</v>
      </c>
      <c r="G527" s="232"/>
    </row>
    <row r="528" spans="1:7" x14ac:dyDescent="0.3">
      <c r="A528" s="157">
        <v>5485</v>
      </c>
      <c r="B528" s="148">
        <v>43105</v>
      </c>
      <c r="C528" t="s">
        <v>991</v>
      </c>
      <c r="D528" s="193">
        <v>150</v>
      </c>
      <c r="E528" t="s">
        <v>992</v>
      </c>
      <c r="F528" t="s">
        <v>552</v>
      </c>
      <c r="G528" s="232"/>
    </row>
    <row r="529" spans="1:7" x14ac:dyDescent="0.3">
      <c r="A529" s="157">
        <v>5486</v>
      </c>
      <c r="B529" s="148">
        <v>43108</v>
      </c>
      <c r="C529" t="s">
        <v>993</v>
      </c>
      <c r="D529" s="193">
        <v>239.9</v>
      </c>
      <c r="E529" t="s">
        <v>994</v>
      </c>
      <c r="F529" t="s">
        <v>552</v>
      </c>
      <c r="G529" s="232"/>
    </row>
    <row r="530" spans="1:7" x14ac:dyDescent="0.3">
      <c r="A530" s="157">
        <v>5487</v>
      </c>
      <c r="B530" s="148">
        <v>43109</v>
      </c>
      <c r="C530" t="s">
        <v>492</v>
      </c>
      <c r="D530" s="193">
        <v>1999</v>
      </c>
      <c r="E530" t="s">
        <v>996</v>
      </c>
      <c r="F530" t="s">
        <v>995</v>
      </c>
      <c r="G530" s="232"/>
    </row>
    <row r="531" spans="1:7" x14ac:dyDescent="0.3">
      <c r="A531" s="157">
        <v>5488</v>
      </c>
      <c r="B531" s="148">
        <v>43109</v>
      </c>
      <c r="C531" t="s">
        <v>997</v>
      </c>
      <c r="D531" s="193">
        <v>115.8</v>
      </c>
      <c r="E531" t="s">
        <v>998</v>
      </c>
      <c r="F531" t="s">
        <v>456</v>
      </c>
      <c r="G531" s="236"/>
    </row>
    <row r="532" spans="1:7" x14ac:dyDescent="0.3">
      <c r="A532" s="157">
        <v>5489</v>
      </c>
      <c r="B532" s="148">
        <v>43109</v>
      </c>
      <c r="C532" t="s">
        <v>993</v>
      </c>
      <c r="D532" s="193">
        <v>49</v>
      </c>
      <c r="E532" t="s">
        <v>999</v>
      </c>
      <c r="G532" s="236" t="s">
        <v>385</v>
      </c>
    </row>
    <row r="533" spans="1:7" x14ac:dyDescent="0.3">
      <c r="A533" s="157">
        <v>5490</v>
      </c>
      <c r="B533" s="148">
        <v>43110</v>
      </c>
      <c r="C533" t="s">
        <v>1000</v>
      </c>
      <c r="D533" s="193">
        <v>379.59</v>
      </c>
      <c r="E533" t="s">
        <v>1001</v>
      </c>
      <c r="F533" t="s">
        <v>835</v>
      </c>
      <c r="G533" s="237"/>
    </row>
    <row r="534" spans="1:7" x14ac:dyDescent="0.3">
      <c r="A534" s="157">
        <v>5491</v>
      </c>
      <c r="B534" s="148">
        <v>43111</v>
      </c>
      <c r="C534" t="s">
        <v>1002</v>
      </c>
      <c r="D534" s="193">
        <v>68.5</v>
      </c>
      <c r="E534" t="s">
        <v>1003</v>
      </c>
      <c r="F534" t="s">
        <v>8</v>
      </c>
      <c r="G534" s="237"/>
    </row>
    <row r="535" spans="1:7" x14ac:dyDescent="0.3">
      <c r="A535" s="157">
        <v>5492</v>
      </c>
      <c r="B535" s="148">
        <v>43111</v>
      </c>
      <c r="C535" t="s">
        <v>622</v>
      </c>
      <c r="D535" s="193">
        <v>800</v>
      </c>
      <c r="E535" t="s">
        <v>1004</v>
      </c>
      <c r="F535" t="s">
        <v>384</v>
      </c>
      <c r="G535" s="237"/>
    </row>
    <row r="536" spans="1:7" x14ac:dyDescent="0.3">
      <c r="A536" s="157">
        <v>5493</v>
      </c>
      <c r="B536" s="148">
        <v>43111</v>
      </c>
      <c r="C536" t="s">
        <v>908</v>
      </c>
      <c r="D536" s="193">
        <v>870</v>
      </c>
      <c r="E536" t="s">
        <v>1005</v>
      </c>
      <c r="F536" t="s">
        <v>384</v>
      </c>
      <c r="G536" s="237"/>
    </row>
    <row r="537" spans="1:7" x14ac:dyDescent="0.3">
      <c r="A537" s="157">
        <v>5494</v>
      </c>
      <c r="B537" s="148">
        <v>43115</v>
      </c>
      <c r="C537" t="s">
        <v>1002</v>
      </c>
      <c r="D537" s="193">
        <v>1248.82</v>
      </c>
      <c r="E537" t="s">
        <v>1006</v>
      </c>
      <c r="F537" t="s">
        <v>5</v>
      </c>
      <c r="G537" s="237"/>
    </row>
    <row r="538" spans="1:7" x14ac:dyDescent="0.3">
      <c r="A538" s="157">
        <v>5495</v>
      </c>
      <c r="B538" s="148">
        <v>43131</v>
      </c>
      <c r="C538" t="s">
        <v>1007</v>
      </c>
      <c r="D538" s="193">
        <v>1223.75</v>
      </c>
      <c r="E538" t="s">
        <v>1008</v>
      </c>
      <c r="F538" t="s">
        <v>507</v>
      </c>
      <c r="G538" s="237"/>
    </row>
    <row r="539" spans="1:7" x14ac:dyDescent="0.3">
      <c r="A539" s="157">
        <v>5496</v>
      </c>
      <c r="B539" s="148">
        <v>43134</v>
      </c>
      <c r="C539" t="s">
        <v>1027</v>
      </c>
      <c r="D539" s="193">
        <v>1000</v>
      </c>
      <c r="E539" t="s">
        <v>1028</v>
      </c>
      <c r="G539" s="238" t="s">
        <v>385</v>
      </c>
    </row>
    <row r="540" spans="1:7" x14ac:dyDescent="0.3">
      <c r="A540" s="157">
        <v>5497</v>
      </c>
      <c r="B540" s="148">
        <v>43134</v>
      </c>
      <c r="C540" t="s">
        <v>1029</v>
      </c>
      <c r="D540" s="193">
        <v>6.92</v>
      </c>
      <c r="E540" t="s">
        <v>1030</v>
      </c>
      <c r="F540" t="s">
        <v>8</v>
      </c>
      <c r="G540" s="238"/>
    </row>
    <row r="541" spans="1:7" x14ac:dyDescent="0.3">
      <c r="A541" s="157">
        <v>5498</v>
      </c>
      <c r="B541" s="148">
        <v>43146</v>
      </c>
      <c r="C541" t="s">
        <v>1031</v>
      </c>
      <c r="D541" s="193">
        <v>1000</v>
      </c>
      <c r="E541" t="s">
        <v>1032</v>
      </c>
      <c r="F541" t="s">
        <v>552</v>
      </c>
      <c r="G541" s="236"/>
    </row>
    <row r="542" spans="1:7" x14ac:dyDescent="0.3">
      <c r="A542" s="157">
        <v>5499</v>
      </c>
      <c r="B542" s="148">
        <v>43146</v>
      </c>
      <c r="C542" t="s">
        <v>944</v>
      </c>
      <c r="D542" s="193">
        <v>695</v>
      </c>
      <c r="E542" t="s">
        <v>459</v>
      </c>
      <c r="F542" t="s">
        <v>382</v>
      </c>
      <c r="G542" s="238"/>
    </row>
    <row r="543" spans="1:7" x14ac:dyDescent="0.3">
      <c r="A543" s="157">
        <v>5500</v>
      </c>
      <c r="B543" s="148">
        <v>43148</v>
      </c>
      <c r="C543" t="s">
        <v>1033</v>
      </c>
      <c r="D543" s="193">
        <v>2099.5</v>
      </c>
      <c r="E543" t="s">
        <v>1034</v>
      </c>
      <c r="F543" t="s">
        <v>981</v>
      </c>
      <c r="G543" s="238" t="s">
        <v>385</v>
      </c>
    </row>
    <row r="544" spans="1:7" x14ac:dyDescent="0.3">
      <c r="A544" s="157">
        <v>5501</v>
      </c>
      <c r="B544" s="148">
        <v>43158</v>
      </c>
      <c r="C544" t="s">
        <v>802</v>
      </c>
      <c r="D544" s="193">
        <v>1819.3</v>
      </c>
      <c r="E544" t="s">
        <v>1035</v>
      </c>
      <c r="G544" s="238" t="s">
        <v>385</v>
      </c>
    </row>
    <row r="545" spans="1:7" x14ac:dyDescent="0.3">
      <c r="A545" s="157">
        <v>5502</v>
      </c>
      <c r="B545" s="148">
        <v>43164</v>
      </c>
      <c r="C545" t="s">
        <v>1047</v>
      </c>
      <c r="D545" s="193">
        <v>844.42</v>
      </c>
      <c r="E545" t="s">
        <v>1048</v>
      </c>
      <c r="F545" t="s">
        <v>1049</v>
      </c>
      <c r="G545" s="238" t="s">
        <v>385</v>
      </c>
    </row>
    <row r="546" spans="1:7" x14ac:dyDescent="0.3">
      <c r="A546" s="157">
        <v>5503</v>
      </c>
      <c r="B546" s="148">
        <v>43176</v>
      </c>
      <c r="C546" t="s">
        <v>474</v>
      </c>
      <c r="D546" s="193">
        <v>791.44</v>
      </c>
      <c r="E546" t="s">
        <v>1050</v>
      </c>
      <c r="F546" t="s">
        <v>1051</v>
      </c>
      <c r="G546" s="238" t="s">
        <v>385</v>
      </c>
    </row>
    <row r="547" spans="1:7" ht="24.9" x14ac:dyDescent="0.3">
      <c r="A547" s="157">
        <v>5504</v>
      </c>
      <c r="B547" s="148">
        <v>43182</v>
      </c>
      <c r="C547" t="s">
        <v>1052</v>
      </c>
      <c r="D547" s="193">
        <v>4563.3500000000004</v>
      </c>
      <c r="E547" s="97" t="s">
        <v>1053</v>
      </c>
      <c r="F547" s="97" t="s">
        <v>1054</v>
      </c>
      <c r="G547" s="236" t="s">
        <v>1055</v>
      </c>
    </row>
    <row r="548" spans="1:7" x14ac:dyDescent="0.3">
      <c r="A548" s="157">
        <v>5505</v>
      </c>
      <c r="B548" s="148">
        <v>43183</v>
      </c>
      <c r="C548" t="s">
        <v>443</v>
      </c>
      <c r="D548" s="193">
        <v>282.66000000000003</v>
      </c>
      <c r="E548" t="s">
        <v>1056</v>
      </c>
      <c r="F548" t="s">
        <v>1057</v>
      </c>
      <c r="G548" s="239"/>
    </row>
    <row r="549" spans="1:7" x14ac:dyDescent="0.3">
      <c r="A549" s="157">
        <v>5506</v>
      </c>
      <c r="B549" s="148">
        <v>43183</v>
      </c>
      <c r="C549" t="s">
        <v>908</v>
      </c>
      <c r="D549" s="193">
        <v>607.91</v>
      </c>
      <c r="E549" t="s">
        <v>1058</v>
      </c>
      <c r="F549" t="s">
        <v>1051</v>
      </c>
      <c r="G549" s="239" t="s">
        <v>385</v>
      </c>
    </row>
    <row r="550" spans="1:7" x14ac:dyDescent="0.3">
      <c r="A550" s="157">
        <v>5507</v>
      </c>
      <c r="B550" s="148">
        <v>43183</v>
      </c>
      <c r="C550" t="s">
        <v>802</v>
      </c>
      <c r="D550" s="193">
        <v>1819.3</v>
      </c>
      <c r="E550" t="s">
        <v>1059</v>
      </c>
      <c r="F550" t="s">
        <v>1051</v>
      </c>
      <c r="G550" s="239" t="s">
        <v>385</v>
      </c>
    </row>
    <row r="551" spans="1:7" x14ac:dyDescent="0.3">
      <c r="A551" s="157">
        <v>5508</v>
      </c>
      <c r="B551" s="148">
        <v>43183</v>
      </c>
      <c r="C551" t="s">
        <v>810</v>
      </c>
      <c r="D551" s="193">
        <v>4000</v>
      </c>
      <c r="E551" t="s">
        <v>1060</v>
      </c>
      <c r="F551" t="s">
        <v>1061</v>
      </c>
      <c r="G551" s="239" t="s">
        <v>385</v>
      </c>
    </row>
    <row r="552" spans="1:7" x14ac:dyDescent="0.3">
      <c r="A552" s="157">
        <v>5509</v>
      </c>
      <c r="B552" s="148">
        <v>43183</v>
      </c>
      <c r="C552" t="s">
        <v>1062</v>
      </c>
      <c r="D552" s="193">
        <v>500</v>
      </c>
      <c r="E552" t="s">
        <v>1060</v>
      </c>
      <c r="F552" t="s">
        <v>1061</v>
      </c>
      <c r="G552" s="239" t="s">
        <v>385</v>
      </c>
    </row>
    <row r="553" spans="1:7" x14ac:dyDescent="0.3">
      <c r="A553" s="157">
        <v>5510</v>
      </c>
      <c r="B553" s="148">
        <v>43183</v>
      </c>
      <c r="C553" t="s">
        <v>1063</v>
      </c>
      <c r="D553" s="193">
        <v>900</v>
      </c>
      <c r="E553" t="s">
        <v>1060</v>
      </c>
      <c r="F553" t="s">
        <v>1061</v>
      </c>
      <c r="G553" s="239" t="s">
        <v>385</v>
      </c>
    </row>
    <row r="554" spans="1:7" x14ac:dyDescent="0.3">
      <c r="A554" s="157">
        <v>5511</v>
      </c>
      <c r="B554" s="148">
        <v>43183</v>
      </c>
      <c r="C554" t="s">
        <v>993</v>
      </c>
      <c r="D554" s="193">
        <v>1773.27</v>
      </c>
      <c r="E554" t="s">
        <v>1064</v>
      </c>
      <c r="F554" t="s">
        <v>1065</v>
      </c>
      <c r="G554" s="239"/>
    </row>
    <row r="555" spans="1:7" x14ac:dyDescent="0.3">
      <c r="A555" s="157">
        <v>5512</v>
      </c>
      <c r="B555" s="148"/>
      <c r="C555" t="s">
        <v>965</v>
      </c>
      <c r="D555" s="179"/>
      <c r="E555" t="s">
        <v>965</v>
      </c>
      <c r="G555" s="239"/>
    </row>
    <row r="556" spans="1:7" x14ac:dyDescent="0.3">
      <c r="A556" s="157">
        <v>5513</v>
      </c>
      <c r="B556" s="148">
        <v>43197</v>
      </c>
      <c r="C556" t="s">
        <v>1070</v>
      </c>
      <c r="D556" s="193">
        <v>1589.27</v>
      </c>
      <c r="E556" t="s">
        <v>1072</v>
      </c>
      <c r="F556" t="s">
        <v>1074</v>
      </c>
      <c r="G556" s="239"/>
    </row>
    <row r="557" spans="1:7" x14ac:dyDescent="0.3">
      <c r="A557" s="157">
        <v>5514</v>
      </c>
      <c r="B557" s="148">
        <v>43197</v>
      </c>
      <c r="C557" t="s">
        <v>1071</v>
      </c>
      <c r="D557" s="193">
        <v>1500</v>
      </c>
      <c r="E557" t="s">
        <v>1073</v>
      </c>
      <c r="F557" t="s">
        <v>831</v>
      </c>
      <c r="G557" s="239"/>
    </row>
    <row r="558" spans="1:7" x14ac:dyDescent="0.3">
      <c r="A558" s="157">
        <v>5515</v>
      </c>
      <c r="B558" s="148">
        <v>43197</v>
      </c>
      <c r="C558" t="s">
        <v>1075</v>
      </c>
      <c r="D558" s="193">
        <v>1122.8499999999999</v>
      </c>
      <c r="E558" t="s">
        <v>1076</v>
      </c>
      <c r="F558" t="s">
        <v>831</v>
      </c>
      <c r="G558" s="239"/>
    </row>
    <row r="559" spans="1:7" x14ac:dyDescent="0.3">
      <c r="A559" s="157">
        <v>5516</v>
      </c>
      <c r="B559" s="148">
        <v>43197</v>
      </c>
      <c r="C559" t="s">
        <v>1077</v>
      </c>
      <c r="D559" s="193">
        <v>555.54</v>
      </c>
      <c r="E559" t="s">
        <v>1078</v>
      </c>
      <c r="F559" t="s">
        <v>507</v>
      </c>
      <c r="G559" s="239"/>
    </row>
    <row r="560" spans="1:7" x14ac:dyDescent="0.3">
      <c r="A560" s="157">
        <v>5517</v>
      </c>
      <c r="B560" s="148">
        <v>43210</v>
      </c>
      <c r="C560" t="s">
        <v>1079</v>
      </c>
      <c r="D560" s="193">
        <v>3292.1</v>
      </c>
      <c r="E560" t="s">
        <v>1080</v>
      </c>
      <c r="F560" t="s">
        <v>1081</v>
      </c>
      <c r="G560" s="239"/>
    </row>
    <row r="561" spans="1:7" x14ac:dyDescent="0.3">
      <c r="A561" s="157">
        <v>5518</v>
      </c>
      <c r="B561" s="148">
        <v>43210</v>
      </c>
      <c r="C561" t="s">
        <v>1082</v>
      </c>
      <c r="D561" s="193">
        <v>382.65</v>
      </c>
      <c r="E561" t="s">
        <v>1083</v>
      </c>
      <c r="G561" s="239" t="s">
        <v>385</v>
      </c>
    </row>
    <row r="562" spans="1:7" x14ac:dyDescent="0.3">
      <c r="A562" s="157">
        <v>5519</v>
      </c>
      <c r="B562" s="148">
        <v>43213</v>
      </c>
      <c r="C562" t="s">
        <v>1077</v>
      </c>
      <c r="D562" s="193">
        <v>106.91</v>
      </c>
      <c r="E562" t="s">
        <v>1084</v>
      </c>
      <c r="F562" t="s">
        <v>1057</v>
      </c>
      <c r="G562" s="239"/>
    </row>
    <row r="563" spans="1:7" x14ac:dyDescent="0.3">
      <c r="A563" s="157">
        <v>5520</v>
      </c>
      <c r="B563" s="148">
        <v>43214</v>
      </c>
      <c r="C563" t="s">
        <v>867</v>
      </c>
      <c r="D563" s="193">
        <v>171.87</v>
      </c>
      <c r="E563" t="s">
        <v>1085</v>
      </c>
      <c r="F563" t="s">
        <v>382</v>
      </c>
      <c r="G563" s="239"/>
    </row>
    <row r="564" spans="1:7" x14ac:dyDescent="0.3">
      <c r="A564" s="157">
        <v>5521</v>
      </c>
      <c r="B564" s="148">
        <v>43219</v>
      </c>
      <c r="C564" t="s">
        <v>1086</v>
      </c>
      <c r="D564" s="247">
        <v>511.9</v>
      </c>
      <c r="E564" t="s">
        <v>1087</v>
      </c>
      <c r="F564" t="s">
        <v>831</v>
      </c>
      <c r="G564" s="147"/>
    </row>
    <row r="565" spans="1:7" x14ac:dyDescent="0.3">
      <c r="A565" s="157">
        <v>5522</v>
      </c>
      <c r="B565" s="148">
        <v>43219</v>
      </c>
      <c r="C565" t="s">
        <v>851</v>
      </c>
      <c r="D565" s="247">
        <v>175.32</v>
      </c>
      <c r="E565" t="s">
        <v>1088</v>
      </c>
      <c r="F565" t="s">
        <v>549</v>
      </c>
      <c r="G565" s="147"/>
    </row>
    <row r="566" spans="1:7" x14ac:dyDescent="0.3">
      <c r="A566" s="157">
        <v>5523</v>
      </c>
      <c r="B566" s="148">
        <v>43219</v>
      </c>
      <c r="C566" t="s">
        <v>350</v>
      </c>
      <c r="D566" s="247">
        <v>276.25</v>
      </c>
      <c r="E566" t="s">
        <v>1089</v>
      </c>
      <c r="F566" t="s">
        <v>382</v>
      </c>
      <c r="G566" s="147"/>
    </row>
    <row r="567" spans="1:7" x14ac:dyDescent="0.3">
      <c r="A567" s="157">
        <v>5524</v>
      </c>
      <c r="B567" s="148">
        <v>43240</v>
      </c>
      <c r="C567" t="s">
        <v>443</v>
      </c>
      <c r="D567" s="247">
        <v>425</v>
      </c>
      <c r="E567" t="s">
        <v>1096</v>
      </c>
      <c r="F567" t="s">
        <v>507</v>
      </c>
      <c r="G567" s="147"/>
    </row>
    <row r="568" spans="1:7" x14ac:dyDescent="0.3">
      <c r="A568" s="157">
        <v>5525</v>
      </c>
      <c r="B568" s="148">
        <v>43240</v>
      </c>
      <c r="C568" t="s">
        <v>1086</v>
      </c>
      <c r="D568" s="247">
        <v>305.95</v>
      </c>
      <c r="E568" t="s">
        <v>1097</v>
      </c>
      <c r="F568" t="s">
        <v>831</v>
      </c>
      <c r="G568" s="246"/>
    </row>
    <row r="569" spans="1:7" x14ac:dyDescent="0.3">
      <c r="A569" s="157">
        <v>5526</v>
      </c>
      <c r="B569" s="148">
        <v>43240</v>
      </c>
      <c r="C569" t="s">
        <v>1070</v>
      </c>
      <c r="D569" s="247">
        <v>1680.96</v>
      </c>
      <c r="E569" t="s">
        <v>1008</v>
      </c>
      <c r="F569" t="s">
        <v>456</v>
      </c>
      <c r="G569" s="246"/>
    </row>
    <row r="570" spans="1:7" x14ac:dyDescent="0.3">
      <c r="A570" s="157">
        <v>5527</v>
      </c>
      <c r="B570" s="148">
        <v>43240</v>
      </c>
      <c r="C570" t="s">
        <v>1071</v>
      </c>
      <c r="D570" s="241">
        <v>5000</v>
      </c>
      <c r="E570" t="s">
        <v>1008</v>
      </c>
      <c r="F570" t="s">
        <v>831</v>
      </c>
      <c r="G570" s="246"/>
    </row>
    <row r="571" spans="1:7" x14ac:dyDescent="0.3">
      <c r="G571" s="147"/>
    </row>
    <row r="572" spans="1:7" x14ac:dyDescent="0.3">
      <c r="B572" s="156"/>
      <c r="C572" t="s">
        <v>399</v>
      </c>
      <c r="G572" s="147"/>
    </row>
    <row r="573" spans="1:7" x14ac:dyDescent="0.3">
      <c r="G573" s="147"/>
    </row>
    <row r="574" spans="1:7" x14ac:dyDescent="0.3">
      <c r="G574" s="147"/>
    </row>
    <row r="575" spans="1:7" x14ac:dyDescent="0.3">
      <c r="G575" s="147"/>
    </row>
    <row r="576" spans="1:7" x14ac:dyDescent="0.3">
      <c r="G576" s="147"/>
    </row>
    <row r="577" spans="7:7" x14ac:dyDescent="0.3">
      <c r="G577" s="147"/>
    </row>
    <row r="578" spans="7:7" x14ac:dyDescent="0.3">
      <c r="G578" s="147"/>
    </row>
  </sheetData>
  <phoneticPr fontId="5" type="noConversion"/>
  <pageMargins left="0.75" right="0.75" top="1" bottom="1" header="0.5" footer="0.5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AA78"/>
  <sheetViews>
    <sheetView topLeftCell="A42" workbookViewId="0">
      <selection activeCell="J59" sqref="J59"/>
    </sheetView>
  </sheetViews>
  <sheetFormatPr defaultRowHeight="12.45" x14ac:dyDescent="0.3"/>
  <cols>
    <col min="3" max="3" width="9.3046875" customWidth="1"/>
    <col min="4" max="4" width="11" customWidth="1"/>
    <col min="5" max="5" width="12.84375" customWidth="1"/>
    <col min="6" max="6" width="10.84375" customWidth="1"/>
    <col min="7" max="7" width="9.3046875" customWidth="1"/>
    <col min="8" max="8" width="23.3046875" customWidth="1"/>
    <col min="9" max="9" width="12.3828125" customWidth="1"/>
    <col min="10" max="10" width="13.15234375" customWidth="1"/>
    <col min="11" max="27" width="9.3046875" customWidth="1"/>
  </cols>
  <sheetData>
    <row r="8" spans="6:27" x14ac:dyDescent="0.3">
      <c r="AA8">
        <v>136840.97</v>
      </c>
    </row>
    <row r="9" spans="6:27" x14ac:dyDescent="0.3">
      <c r="AA9">
        <v>478.14</v>
      </c>
    </row>
    <row r="10" spans="6:27" x14ac:dyDescent="0.3">
      <c r="AA10">
        <v>500</v>
      </c>
    </row>
    <row r="11" spans="6:27" x14ac:dyDescent="0.3">
      <c r="AA11">
        <v>908.96</v>
      </c>
    </row>
    <row r="12" spans="6:27" x14ac:dyDescent="0.3">
      <c r="Y12">
        <v>141838</v>
      </c>
      <c r="AA12">
        <v>27.33</v>
      </c>
    </row>
    <row r="13" spans="6:27" x14ac:dyDescent="0.3">
      <c r="AA13">
        <v>12.98</v>
      </c>
    </row>
    <row r="14" spans="6:27" x14ac:dyDescent="0.3">
      <c r="F14" t="s">
        <v>1036</v>
      </c>
      <c r="G14" t="s">
        <v>1037</v>
      </c>
      <c r="J14" t="s">
        <v>1009</v>
      </c>
      <c r="K14" t="s">
        <v>1010</v>
      </c>
      <c r="N14" t="s">
        <v>1012</v>
      </c>
      <c r="P14" t="s">
        <v>1011</v>
      </c>
      <c r="V14" t="s">
        <v>1014</v>
      </c>
      <c r="AA14">
        <v>400</v>
      </c>
    </row>
    <row r="15" spans="6:27" x14ac:dyDescent="0.3">
      <c r="F15">
        <v>1000</v>
      </c>
      <c r="G15">
        <v>478.14</v>
      </c>
      <c r="J15">
        <v>150</v>
      </c>
      <c r="K15">
        <v>250</v>
      </c>
      <c r="N15">
        <v>42.88</v>
      </c>
      <c r="P15">
        <v>57.28</v>
      </c>
      <c r="V15">
        <v>795</v>
      </c>
      <c r="W15">
        <v>1000</v>
      </c>
      <c r="AA15">
        <v>1149.0899999999999</v>
      </c>
    </row>
    <row r="16" spans="6:27" x14ac:dyDescent="0.3">
      <c r="F16">
        <v>6.92</v>
      </c>
      <c r="G16">
        <v>500</v>
      </c>
      <c r="J16">
        <v>239.9</v>
      </c>
      <c r="K16">
        <v>479.9</v>
      </c>
      <c r="N16">
        <v>286.27</v>
      </c>
      <c r="P16">
        <v>1650</v>
      </c>
      <c r="V16">
        <v>4587.32</v>
      </c>
      <c r="W16">
        <v>540</v>
      </c>
      <c r="AA16">
        <v>1818.98</v>
      </c>
    </row>
    <row r="17" spans="5:27" x14ac:dyDescent="0.3">
      <c r="F17">
        <v>0.1</v>
      </c>
      <c r="G17">
        <v>908.96</v>
      </c>
      <c r="J17">
        <v>1999.01</v>
      </c>
      <c r="K17">
        <v>191.75</v>
      </c>
      <c r="P17">
        <v>30</v>
      </c>
      <c r="V17">
        <v>141.91999999999999</v>
      </c>
      <c r="W17">
        <v>3495</v>
      </c>
      <c r="AA17">
        <v>30.33</v>
      </c>
    </row>
    <row r="18" spans="5:27" x14ac:dyDescent="0.3">
      <c r="F18">
        <v>1000</v>
      </c>
      <c r="G18">
        <v>27.33</v>
      </c>
      <c r="J18">
        <v>115.8</v>
      </c>
      <c r="K18">
        <v>311.11</v>
      </c>
      <c r="N18">
        <v>102.17</v>
      </c>
      <c r="P18">
        <v>20</v>
      </c>
      <c r="V18">
        <v>149.05000000000001</v>
      </c>
      <c r="W18">
        <v>14.75</v>
      </c>
      <c r="AA18">
        <v>107.39</v>
      </c>
    </row>
    <row r="19" spans="5:27" x14ac:dyDescent="0.3">
      <c r="F19">
        <v>695</v>
      </c>
      <c r="G19">
        <v>12.98</v>
      </c>
      <c r="J19">
        <v>49</v>
      </c>
      <c r="K19">
        <v>700</v>
      </c>
      <c r="N19">
        <v>550</v>
      </c>
      <c r="P19">
        <v>500</v>
      </c>
      <c r="V19">
        <v>100.28</v>
      </c>
      <c r="W19">
        <v>800</v>
      </c>
      <c r="AA19">
        <f>SUM(AA8:AA18)</f>
        <v>142274.17000000001</v>
      </c>
    </row>
    <row r="20" spans="5:27" x14ac:dyDescent="0.3">
      <c r="F20">
        <v>2099.5</v>
      </c>
      <c r="G20">
        <v>400</v>
      </c>
      <c r="J20">
        <v>379.59</v>
      </c>
      <c r="K20">
        <v>621.87</v>
      </c>
      <c r="N20">
        <v>55</v>
      </c>
      <c r="P20">
        <v>2000</v>
      </c>
      <c r="V20">
        <v>346.68</v>
      </c>
      <c r="W20">
        <v>373.43</v>
      </c>
    </row>
    <row r="21" spans="5:27" x14ac:dyDescent="0.3">
      <c r="F21">
        <v>1819.3</v>
      </c>
      <c r="G21">
        <v>1149.0899999999999</v>
      </c>
      <c r="J21">
        <v>68.5</v>
      </c>
      <c r="K21">
        <v>30</v>
      </c>
      <c r="N21">
        <v>1730</v>
      </c>
      <c r="P21">
        <v>200</v>
      </c>
      <c r="V21">
        <v>1166</v>
      </c>
      <c r="W21">
        <v>47.67</v>
      </c>
    </row>
    <row r="22" spans="5:27" x14ac:dyDescent="0.3">
      <c r="G22">
        <v>1818.98</v>
      </c>
      <c r="J22">
        <v>800</v>
      </c>
      <c r="N22">
        <v>1730</v>
      </c>
      <c r="P22">
        <v>280</v>
      </c>
      <c r="V22">
        <v>402.72</v>
      </c>
    </row>
    <row r="23" spans="5:27" x14ac:dyDescent="0.3">
      <c r="G23">
        <v>30.33</v>
      </c>
      <c r="J23">
        <v>870.86</v>
      </c>
      <c r="N23">
        <v>1200</v>
      </c>
      <c r="P23">
        <v>402.72</v>
      </c>
      <c r="V23">
        <v>117.58</v>
      </c>
    </row>
    <row r="24" spans="5:27" x14ac:dyDescent="0.3">
      <c r="G24">
        <v>107.39</v>
      </c>
      <c r="J24">
        <v>1248.82</v>
      </c>
      <c r="N24">
        <v>68</v>
      </c>
      <c r="P24">
        <f>SUM(P15:P23)</f>
        <v>5140</v>
      </c>
      <c r="V24">
        <v>219.8</v>
      </c>
    </row>
    <row r="25" spans="5:27" x14ac:dyDescent="0.3">
      <c r="J25">
        <v>1223.75</v>
      </c>
      <c r="N25">
        <v>36</v>
      </c>
      <c r="V25">
        <v>260</v>
      </c>
    </row>
    <row r="26" spans="5:27" x14ac:dyDescent="0.3">
      <c r="E26" t="s">
        <v>1017</v>
      </c>
      <c r="F26">
        <v>1223.75</v>
      </c>
      <c r="H26" t="s">
        <v>1017</v>
      </c>
      <c r="J26" s="156">
        <v>42.88</v>
      </c>
      <c r="N26">
        <v>402.72</v>
      </c>
      <c r="V26">
        <f>SUM(V15:V25)</f>
        <v>8286.35</v>
      </c>
      <c r="W26">
        <f>SUM(W15:W25)</f>
        <v>6270.85</v>
      </c>
    </row>
    <row r="27" spans="5:27" x14ac:dyDescent="0.3">
      <c r="F27">
        <v>42.88</v>
      </c>
      <c r="N27">
        <v>1000</v>
      </c>
      <c r="V27">
        <f>W26-V26</f>
        <v>-2015.5</v>
      </c>
    </row>
    <row r="28" spans="5:27" x14ac:dyDescent="0.3">
      <c r="N28">
        <f>SUM(N15:N27)</f>
        <v>7203.04</v>
      </c>
      <c r="U28">
        <v>145002.37</v>
      </c>
    </row>
    <row r="29" spans="5:27" x14ac:dyDescent="0.3">
      <c r="F29">
        <f>SUM(F15:F27)</f>
        <v>7887.4500000000007</v>
      </c>
      <c r="G29">
        <f>SUM(G15:G28)</f>
        <v>5433.2</v>
      </c>
      <c r="P29">
        <v>143242.68</v>
      </c>
      <c r="U29">
        <f>U28+V27</f>
        <v>142986.87</v>
      </c>
    </row>
    <row r="30" spans="5:27" x14ac:dyDescent="0.3">
      <c r="G30">
        <f>G29-F29</f>
        <v>-2454.2500000000009</v>
      </c>
      <c r="I30" t="s">
        <v>1015</v>
      </c>
      <c r="J30">
        <f>SUM(J15:J29)</f>
        <v>7188.11</v>
      </c>
      <c r="K30">
        <f>SUM(K15:K25)</f>
        <v>2584.63</v>
      </c>
      <c r="P30">
        <f>N28-P24</f>
        <v>2063.04</v>
      </c>
    </row>
    <row r="31" spans="5:27" x14ac:dyDescent="0.3">
      <c r="I31" t="s">
        <v>1016</v>
      </c>
      <c r="J31">
        <f>J30-K30</f>
        <v>4603.4799999999996</v>
      </c>
      <c r="P31">
        <f>P29-P30</f>
        <v>141179.63999999998</v>
      </c>
    </row>
    <row r="32" spans="5:27" x14ac:dyDescent="0.3">
      <c r="P32">
        <v>141100.79999999999</v>
      </c>
    </row>
    <row r="33" spans="4:19" x14ac:dyDescent="0.3">
      <c r="P33">
        <f>P31-P32</f>
        <v>78.839999999996508</v>
      </c>
      <c r="R33" t="s">
        <v>1013</v>
      </c>
      <c r="S33">
        <v>42.88</v>
      </c>
    </row>
    <row r="34" spans="4:19" x14ac:dyDescent="0.3">
      <c r="D34" t="s">
        <v>1039</v>
      </c>
      <c r="F34" s="35">
        <v>141838.57999999999</v>
      </c>
      <c r="H34" t="s">
        <v>1044</v>
      </c>
      <c r="I34" s="234">
        <v>136840.97</v>
      </c>
      <c r="P34">
        <f>P33-S33</f>
        <v>35.959999999996505</v>
      </c>
    </row>
    <row r="35" spans="4:19" x14ac:dyDescent="0.3">
      <c r="D35" t="s">
        <v>1040</v>
      </c>
      <c r="E35">
        <v>5495</v>
      </c>
      <c r="F35">
        <v>1223.75</v>
      </c>
      <c r="H35">
        <v>5496</v>
      </c>
      <c r="I35" s="234">
        <v>1000</v>
      </c>
      <c r="J35" s="234">
        <v>478.14</v>
      </c>
    </row>
    <row r="36" spans="4:19" x14ac:dyDescent="0.3">
      <c r="E36">
        <v>5472</v>
      </c>
      <c r="F36">
        <v>42.88</v>
      </c>
      <c r="H36">
        <v>5497</v>
      </c>
      <c r="I36" s="234">
        <v>6.92</v>
      </c>
      <c r="J36" s="234">
        <v>500</v>
      </c>
    </row>
    <row r="37" spans="4:19" x14ac:dyDescent="0.3">
      <c r="E37" t="s">
        <v>1038</v>
      </c>
      <c r="F37">
        <v>0.1</v>
      </c>
      <c r="H37" t="s">
        <v>1038</v>
      </c>
      <c r="I37" s="234">
        <v>0.1</v>
      </c>
      <c r="J37" s="234">
        <v>908.96</v>
      </c>
    </row>
    <row r="38" spans="4:19" x14ac:dyDescent="0.3">
      <c r="E38">
        <v>5498</v>
      </c>
      <c r="F38">
        <v>1000</v>
      </c>
      <c r="H38">
        <v>5499</v>
      </c>
      <c r="I38" s="234">
        <v>695</v>
      </c>
      <c r="J38" s="234">
        <v>27.33</v>
      </c>
    </row>
    <row r="39" spans="4:19" x14ac:dyDescent="0.3">
      <c r="E39">
        <v>5500</v>
      </c>
      <c r="F39">
        <v>2099.5</v>
      </c>
      <c r="I39" s="234"/>
      <c r="J39" s="234">
        <v>12.98</v>
      </c>
    </row>
    <row r="40" spans="4:19" x14ac:dyDescent="0.3">
      <c r="E40">
        <v>5501</v>
      </c>
      <c r="F40">
        <v>1819.3</v>
      </c>
      <c r="I40" s="234"/>
      <c r="J40" s="234">
        <v>400</v>
      </c>
    </row>
    <row r="41" spans="4:19" x14ac:dyDescent="0.3">
      <c r="D41" t="s">
        <v>1041</v>
      </c>
      <c r="F41" s="4">
        <f>SUM(F35:F40)</f>
        <v>6185.53</v>
      </c>
      <c r="I41" s="234"/>
      <c r="J41" s="234">
        <v>1149.0899999999999</v>
      </c>
    </row>
    <row r="42" spans="4:19" x14ac:dyDescent="0.3">
      <c r="D42" t="s">
        <v>1042</v>
      </c>
      <c r="F42" s="35">
        <f>F34-F41</f>
        <v>135653.04999999999</v>
      </c>
      <c r="I42" s="234">
        <f>SUM(I35:I41)</f>
        <v>1702.02</v>
      </c>
      <c r="J42" s="234">
        <v>1818.98</v>
      </c>
    </row>
    <row r="43" spans="4:19" x14ac:dyDescent="0.3">
      <c r="H43" t="s">
        <v>1045</v>
      </c>
      <c r="I43" s="234">
        <f>I34-I42</f>
        <v>135138.95000000001</v>
      </c>
      <c r="J43" s="234">
        <v>30.03</v>
      </c>
    </row>
    <row r="44" spans="4:19" x14ac:dyDescent="0.3">
      <c r="I44" s="234"/>
      <c r="J44" s="234">
        <v>107.39</v>
      </c>
    </row>
    <row r="45" spans="4:19" x14ac:dyDescent="0.3">
      <c r="I45" s="234"/>
      <c r="J45" s="234">
        <v>1223.75</v>
      </c>
    </row>
    <row r="46" spans="4:19" x14ac:dyDescent="0.3">
      <c r="I46" s="234"/>
      <c r="J46" s="234">
        <v>0.1</v>
      </c>
    </row>
    <row r="47" spans="4:19" x14ac:dyDescent="0.3">
      <c r="I47" s="234"/>
      <c r="J47" s="234">
        <v>42.88</v>
      </c>
    </row>
    <row r="48" spans="4:19" x14ac:dyDescent="0.3">
      <c r="I48" s="234"/>
      <c r="J48" s="235">
        <f>SUM(J35:J47)</f>
        <v>6699.63</v>
      </c>
    </row>
    <row r="49" spans="4:15" x14ac:dyDescent="0.3">
      <c r="H49" t="s">
        <v>1043</v>
      </c>
      <c r="I49" s="234"/>
      <c r="J49" s="234">
        <f>J48-I42</f>
        <v>4997.6100000000006</v>
      </c>
    </row>
    <row r="50" spans="4:15" x14ac:dyDescent="0.3">
      <c r="H50" t="s">
        <v>1039</v>
      </c>
      <c r="I50" s="234"/>
      <c r="J50" s="235">
        <f>I34+J49</f>
        <v>141838.58000000002</v>
      </c>
    </row>
    <row r="55" spans="4:15" x14ac:dyDescent="0.3">
      <c r="D55" t="s">
        <v>1066</v>
      </c>
      <c r="F55">
        <v>218377.79</v>
      </c>
      <c r="H55" t="s">
        <v>1090</v>
      </c>
    </row>
    <row r="56" spans="4:15" x14ac:dyDescent="0.3">
      <c r="E56" t="s">
        <v>1067</v>
      </c>
      <c r="H56" t="s">
        <v>1091</v>
      </c>
      <c r="I56" s="242">
        <v>20</v>
      </c>
      <c r="J56">
        <v>396</v>
      </c>
      <c r="K56" s="242">
        <v>288.06</v>
      </c>
      <c r="L56">
        <f>O56*2</f>
        <v>285.22000000000003</v>
      </c>
      <c r="M56">
        <f>SUM(I56:L56)</f>
        <v>989.28</v>
      </c>
      <c r="O56" s="156">
        <f>570.44/4</f>
        <v>142.61000000000001</v>
      </c>
    </row>
    <row r="57" spans="4:15" x14ac:dyDescent="0.3">
      <c r="E57">
        <v>5510</v>
      </c>
      <c r="F57">
        <v>900</v>
      </c>
      <c r="H57" t="s">
        <v>1092</v>
      </c>
      <c r="I57" s="242">
        <v>30</v>
      </c>
      <c r="M57">
        <f t="shared" ref="M57:M61" si="0">SUM(I57:L57)</f>
        <v>30</v>
      </c>
    </row>
    <row r="58" spans="4:15" x14ac:dyDescent="0.3">
      <c r="E58">
        <v>5509</v>
      </c>
      <c r="F58">
        <v>500</v>
      </c>
      <c r="H58" t="s">
        <v>831</v>
      </c>
      <c r="I58">
        <v>3650</v>
      </c>
      <c r="J58">
        <v>440</v>
      </c>
      <c r="K58">
        <v>1200</v>
      </c>
      <c r="M58">
        <f t="shared" si="0"/>
        <v>5290</v>
      </c>
    </row>
    <row r="59" spans="4:15" x14ac:dyDescent="0.3">
      <c r="E59">
        <v>5507</v>
      </c>
      <c r="F59">
        <v>1819.3</v>
      </c>
      <c r="H59" t="s">
        <v>1093</v>
      </c>
      <c r="I59">
        <v>200</v>
      </c>
      <c r="M59">
        <f t="shared" si="0"/>
        <v>200</v>
      </c>
    </row>
    <row r="60" spans="4:15" x14ac:dyDescent="0.3">
      <c r="E60">
        <v>5506</v>
      </c>
      <c r="F60">
        <v>607.91</v>
      </c>
      <c r="H60" t="s">
        <v>1094</v>
      </c>
      <c r="I60">
        <f>O56</f>
        <v>142.61000000000001</v>
      </c>
      <c r="M60">
        <f t="shared" si="0"/>
        <v>142.61000000000001</v>
      </c>
    </row>
    <row r="61" spans="4:15" x14ac:dyDescent="0.3">
      <c r="E61">
        <v>5505</v>
      </c>
      <c r="F61">
        <v>282.66000000000003</v>
      </c>
      <c r="H61" t="s">
        <v>840</v>
      </c>
      <c r="I61">
        <f>O56</f>
        <v>142.61000000000001</v>
      </c>
      <c r="J61">
        <v>143.37</v>
      </c>
      <c r="M61">
        <f t="shared" si="0"/>
        <v>285.98</v>
      </c>
    </row>
    <row r="62" spans="4:15" x14ac:dyDescent="0.3">
      <c r="E62">
        <v>5504</v>
      </c>
      <c r="F62">
        <v>4563.3500000000004</v>
      </c>
      <c r="M62">
        <f>SUM(M56:M61)</f>
        <v>6937.869999999999</v>
      </c>
    </row>
    <row r="63" spans="4:15" x14ac:dyDescent="0.3">
      <c r="E63">
        <v>5472</v>
      </c>
      <c r="F63">
        <v>42.88</v>
      </c>
    </row>
    <row r="64" spans="4:15" x14ac:dyDescent="0.3">
      <c r="F64">
        <f>SUM(F57:F63)</f>
        <v>8716.1</v>
      </c>
    </row>
    <row r="66" spans="6:18" x14ac:dyDescent="0.3">
      <c r="F66">
        <f>F55-F64</f>
        <v>209661.69</v>
      </c>
    </row>
    <row r="74" spans="6:18" x14ac:dyDescent="0.3">
      <c r="J74">
        <f>143242.68-402.72-36-1200-42.88-100.38-30-30</f>
        <v>141400.69999999998</v>
      </c>
      <c r="O74">
        <f>138223.4-1223.75-115.8-42.88</f>
        <v>136840.97</v>
      </c>
      <c r="Q74">
        <v>136841</v>
      </c>
      <c r="R74" t="s">
        <v>1018</v>
      </c>
    </row>
    <row r="75" spans="6:18" x14ac:dyDescent="0.3">
      <c r="O75">
        <f>O74+J31</f>
        <v>141444.45000000001</v>
      </c>
      <c r="Q75">
        <v>1223.75</v>
      </c>
      <c r="R75" t="s">
        <v>1019</v>
      </c>
    </row>
    <row r="76" spans="6:18" x14ac:dyDescent="0.3">
      <c r="O76">
        <f>O75-J74</f>
        <v>43.750000000029104</v>
      </c>
      <c r="Q76">
        <v>115.8</v>
      </c>
    </row>
    <row r="77" spans="6:18" x14ac:dyDescent="0.3">
      <c r="Q77">
        <v>42.88</v>
      </c>
      <c r="R77" t="s">
        <v>1020</v>
      </c>
    </row>
    <row r="78" spans="6:18" x14ac:dyDescent="0.3">
      <c r="Q78">
        <f>SUM(Q74:Q77)</f>
        <v>138223.43</v>
      </c>
      <c r="R78" t="s">
        <v>1021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Cash Flow</vt:lpstr>
      <vt:lpstr>Team Accounts</vt:lpstr>
      <vt:lpstr>RAB Grants by Sport</vt:lpstr>
      <vt:lpstr>Auction Results</vt:lpstr>
      <vt:lpstr>Checks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</dc:creator>
  <cp:lastModifiedBy>Tim Mirick</cp:lastModifiedBy>
  <cp:lastPrinted>2017-08-09T19:16:07Z</cp:lastPrinted>
  <dcterms:created xsi:type="dcterms:W3CDTF">1996-10-14T23:33:28Z</dcterms:created>
  <dcterms:modified xsi:type="dcterms:W3CDTF">2018-06-07T19:59:08Z</dcterms:modified>
</cp:coreProperties>
</file>