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2022-2023 Files\Budget Files\"/>
    </mc:Choice>
  </mc:AlternateContent>
  <xr:revisionPtr revIDLastSave="0" documentId="8_{FF62CC66-EC08-42F4-97BB-181DC8A48945}" xr6:coauthVersionLast="47" xr6:coauthVersionMax="47" xr10:uidLastSave="{00000000-0000-0000-0000-000000000000}"/>
  <bookViews>
    <workbookView xWindow="-120" yWindow="-120" windowWidth="20730" windowHeight="11160" tabRatio="964" xr2:uid="{00000000-000D-0000-FFFF-FFFF00000000}"/>
  </bookViews>
  <sheets>
    <sheet name="Budget vs. Actuals" sheetId="1" r:id="rId1"/>
    <sheet name="Trip Acct" sheetId="18" r:id="rId2"/>
    <sheet name="Girls Folkstyle National Duals" sheetId="17" r:id="rId3"/>
    <sheet name="Elem Dual State" sheetId="2" r:id="rId4"/>
    <sheet name="Middle School State" sheetId="3" r:id="rId5"/>
    <sheet name="Folkstyle State" sheetId="4" r:id="rId6"/>
    <sheet name="FS_Greco St" sheetId="5" r:id="rId7"/>
    <sheet name="14UBoysTeam" sheetId="6" r:id="rId8"/>
    <sheet name="14U Event" sheetId="12" r:id="rId9"/>
    <sheet name="16UBoysTeam" sheetId="7" r:id="rId10"/>
    <sheet name="Heartland" sheetId="8" r:id="rId11"/>
    <sheet name="JrDuals Men" sheetId="9" r:id="rId12"/>
    <sheet name="JrDuals Wm" sheetId="10" r:id="rId13"/>
    <sheet name="KidsNat'l" sheetId="11" r:id="rId14"/>
    <sheet name="Central Reg" sheetId="14" r:id="rId15"/>
    <sheet name="Fargo" sheetId="16" r:id="rId16"/>
    <sheet name="16U Event" sheetId="13" r:id="rId17"/>
    <sheet name="Showcase" sheetId="15" r:id="rId18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3" i="18" l="1"/>
  <c r="F24" i="18" s="1"/>
  <c r="F26" i="18" s="1"/>
  <c r="F27" i="18" s="1"/>
  <c r="H24" i="18"/>
  <c r="H26" i="18" s="1"/>
  <c r="H27" i="18" s="1"/>
  <c r="K23" i="18"/>
  <c r="K24" i="18" s="1"/>
  <c r="K26" i="18" s="1"/>
  <c r="K27" i="18" s="1"/>
  <c r="J23" i="18"/>
  <c r="J24" i="18" s="1"/>
  <c r="J26" i="18" s="1"/>
  <c r="J27" i="18" s="1"/>
  <c r="I23" i="18"/>
  <c r="I24" i="18" s="1"/>
  <c r="I26" i="18" s="1"/>
  <c r="I27" i="18" s="1"/>
  <c r="H23" i="18"/>
  <c r="E23" i="18"/>
  <c r="E24" i="18" s="1"/>
  <c r="E26" i="18" s="1"/>
  <c r="E27" i="18" s="1"/>
  <c r="D23" i="18"/>
  <c r="D24" i="18" s="1"/>
  <c r="D26" i="18" s="1"/>
  <c r="D27" i="18" s="1"/>
  <c r="C23" i="18"/>
  <c r="C24" i="18" s="1"/>
  <c r="C26" i="18" s="1"/>
  <c r="C27" i="18" s="1"/>
  <c r="B23" i="18"/>
  <c r="B24" i="18" s="1"/>
  <c r="B26" i="18" s="1"/>
  <c r="B27" i="18" s="1"/>
  <c r="B5" i="16" l="1"/>
  <c r="B4" i="16"/>
  <c r="C18" i="16"/>
  <c r="E18" i="16" s="1"/>
  <c r="C17" i="16"/>
  <c r="E17" i="16" s="1"/>
  <c r="E16" i="16"/>
  <c r="D16" i="16"/>
  <c r="C16" i="16"/>
  <c r="E15" i="16"/>
  <c r="D15" i="16"/>
  <c r="C15" i="16"/>
  <c r="C14" i="16"/>
  <c r="E14" i="16" s="1"/>
  <c r="E13" i="16"/>
  <c r="C13" i="16"/>
  <c r="D13" i="16" s="1"/>
  <c r="E12" i="16"/>
  <c r="D12" i="16"/>
  <c r="C12" i="16"/>
  <c r="C11" i="16"/>
  <c r="C19" i="16" s="1"/>
  <c r="D10" i="16"/>
  <c r="C10" i="16"/>
  <c r="E10" i="16" s="1"/>
  <c r="B18" i="16"/>
  <c r="B17" i="16"/>
  <c r="B15" i="16"/>
  <c r="B14" i="16"/>
  <c r="B13" i="16"/>
  <c r="B12" i="16"/>
  <c r="B11" i="16"/>
  <c r="B10" i="16"/>
  <c r="B19" i="16" s="1"/>
  <c r="G330" i="1"/>
  <c r="G321" i="1"/>
  <c r="G289" i="1"/>
  <c r="G277" i="1"/>
  <c r="G266" i="1"/>
  <c r="G253" i="1"/>
  <c r="G245" i="1"/>
  <c r="G233" i="1"/>
  <c r="G223" i="1"/>
  <c r="G212" i="1"/>
  <c r="G205" i="1"/>
  <c r="G184" i="1"/>
  <c r="G172" i="1"/>
  <c r="G161" i="1"/>
  <c r="G149" i="1"/>
  <c r="F338" i="1"/>
  <c r="B13" i="11"/>
  <c r="D13" i="11" s="1"/>
  <c r="B12" i="11"/>
  <c r="B10" i="11"/>
  <c r="E10" i="11" s="1"/>
  <c r="B9" i="11"/>
  <c r="E203" i="1"/>
  <c r="D201" i="1"/>
  <c r="D199" i="1"/>
  <c r="F71" i="1"/>
  <c r="E337" i="1"/>
  <c r="D337" i="1"/>
  <c r="C337" i="1"/>
  <c r="B337" i="1"/>
  <c r="C336" i="1"/>
  <c r="B336" i="1"/>
  <c r="C334" i="1"/>
  <c r="C335" i="1" s="1"/>
  <c r="B334" i="1"/>
  <c r="B335" i="1" s="1"/>
  <c r="E333" i="1"/>
  <c r="D333" i="1"/>
  <c r="C329" i="1"/>
  <c r="E329" i="1" s="1"/>
  <c r="B329" i="1"/>
  <c r="D329" i="1" s="1"/>
  <c r="C328" i="1"/>
  <c r="B328" i="1"/>
  <c r="D327" i="1"/>
  <c r="C327" i="1"/>
  <c r="E327" i="1" s="1"/>
  <c r="C326" i="1"/>
  <c r="B326" i="1"/>
  <c r="C325" i="1"/>
  <c r="B325" i="1"/>
  <c r="D325" i="1" s="1"/>
  <c r="C324" i="1"/>
  <c r="E324" i="1" s="1"/>
  <c r="C323" i="1"/>
  <c r="D323" i="1" s="1"/>
  <c r="E322" i="1"/>
  <c r="D322" i="1"/>
  <c r="E320" i="1"/>
  <c r="D320" i="1"/>
  <c r="C320" i="1"/>
  <c r="B320" i="1"/>
  <c r="C319" i="1"/>
  <c r="E319" i="1" s="1"/>
  <c r="C318" i="1"/>
  <c r="E318" i="1" s="1"/>
  <c r="B318" i="1"/>
  <c r="C317" i="1"/>
  <c r="B317" i="1"/>
  <c r="D317" i="1" s="1"/>
  <c r="C316" i="1"/>
  <c r="E316" i="1" s="1"/>
  <c r="B316" i="1"/>
  <c r="C315" i="1"/>
  <c r="B315" i="1"/>
  <c r="D315" i="1" s="1"/>
  <c r="C314" i="1"/>
  <c r="E314" i="1" s="1"/>
  <c r="B314" i="1"/>
  <c r="C313" i="1"/>
  <c r="B313" i="1"/>
  <c r="D313" i="1" s="1"/>
  <c r="C312" i="1"/>
  <c r="C321" i="1" s="1"/>
  <c r="B312" i="1"/>
  <c r="E311" i="1"/>
  <c r="D311" i="1"/>
  <c r="D309" i="1"/>
  <c r="C309" i="1"/>
  <c r="E309" i="1" s="1"/>
  <c r="C308" i="1"/>
  <c r="D308" i="1" s="1"/>
  <c r="C307" i="1"/>
  <c r="E307" i="1" s="1"/>
  <c r="B307" i="1"/>
  <c r="C306" i="1"/>
  <c r="B306" i="1"/>
  <c r="E306" i="1" s="1"/>
  <c r="C305" i="1"/>
  <c r="B305" i="1"/>
  <c r="D305" i="1" s="1"/>
  <c r="C304" i="1"/>
  <c r="E304" i="1" s="1"/>
  <c r="B304" i="1"/>
  <c r="D304" i="1" s="1"/>
  <c r="C303" i="1"/>
  <c r="B303" i="1"/>
  <c r="D303" i="1" s="1"/>
  <c r="E302" i="1"/>
  <c r="D302" i="1"/>
  <c r="C302" i="1"/>
  <c r="B302" i="1"/>
  <c r="C301" i="1"/>
  <c r="E301" i="1" s="1"/>
  <c r="B301" i="1"/>
  <c r="E300" i="1"/>
  <c r="B300" i="1"/>
  <c r="D300" i="1" s="1"/>
  <c r="C299" i="1"/>
  <c r="B299" i="1"/>
  <c r="E298" i="1"/>
  <c r="D298" i="1"/>
  <c r="E297" i="1"/>
  <c r="D297" i="1"/>
  <c r="C294" i="1"/>
  <c r="D294" i="1" s="1"/>
  <c r="C293" i="1"/>
  <c r="D293" i="1" s="1"/>
  <c r="C292" i="1"/>
  <c r="B292" i="1"/>
  <c r="E291" i="1"/>
  <c r="D291" i="1"/>
  <c r="C290" i="1"/>
  <c r="D290" i="1" s="1"/>
  <c r="C288" i="1"/>
  <c r="B288" i="1"/>
  <c r="E288" i="1" s="1"/>
  <c r="C287" i="1"/>
  <c r="B287" i="1"/>
  <c r="E286" i="1"/>
  <c r="D286" i="1"/>
  <c r="C286" i="1"/>
  <c r="C285" i="1"/>
  <c r="B285" i="1"/>
  <c r="C284" i="1"/>
  <c r="E284" i="1" s="1"/>
  <c r="B284" i="1"/>
  <c r="C283" i="1"/>
  <c r="B283" i="1"/>
  <c r="C282" i="1"/>
  <c r="E282" i="1" s="1"/>
  <c r="B282" i="1"/>
  <c r="C281" i="1"/>
  <c r="B281" i="1"/>
  <c r="E280" i="1"/>
  <c r="C280" i="1"/>
  <c r="B280" i="1"/>
  <c r="D280" i="1" s="1"/>
  <c r="E279" i="1"/>
  <c r="D279" i="1"/>
  <c r="C276" i="1"/>
  <c r="B276" i="1"/>
  <c r="E275" i="1"/>
  <c r="C275" i="1"/>
  <c r="D275" i="1" s="1"/>
  <c r="B275" i="1"/>
  <c r="C274" i="1"/>
  <c r="E274" i="1" s="1"/>
  <c r="C273" i="1"/>
  <c r="E273" i="1" s="1"/>
  <c r="B273" i="1"/>
  <c r="D273" i="1" s="1"/>
  <c r="C272" i="1"/>
  <c r="C271" i="1"/>
  <c r="E271" i="1" s="1"/>
  <c r="B271" i="1"/>
  <c r="C270" i="1"/>
  <c r="B270" i="1"/>
  <c r="C269" i="1"/>
  <c r="B269" i="1"/>
  <c r="E269" i="1" s="1"/>
  <c r="C268" i="1"/>
  <c r="B268" i="1"/>
  <c r="E267" i="1"/>
  <c r="D267" i="1"/>
  <c r="C265" i="1"/>
  <c r="E265" i="1" s="1"/>
  <c r="B265" i="1"/>
  <c r="C264" i="1"/>
  <c r="B264" i="1"/>
  <c r="C263" i="1"/>
  <c r="E263" i="1" s="1"/>
  <c r="E262" i="1"/>
  <c r="C262" i="1"/>
  <c r="B262" i="1"/>
  <c r="D262" i="1" s="1"/>
  <c r="C261" i="1"/>
  <c r="C260" i="1"/>
  <c r="B260" i="1"/>
  <c r="C259" i="1"/>
  <c r="B259" i="1"/>
  <c r="C258" i="1"/>
  <c r="E258" i="1" s="1"/>
  <c r="E257" i="1"/>
  <c r="D257" i="1"/>
  <c r="C257" i="1"/>
  <c r="B257" i="1"/>
  <c r="E256" i="1"/>
  <c r="D256" i="1"/>
  <c r="E255" i="1"/>
  <c r="D255" i="1"/>
  <c r="C252" i="1"/>
  <c r="B252" i="1"/>
  <c r="E252" i="1" s="1"/>
  <c r="C251" i="1"/>
  <c r="B251" i="1"/>
  <c r="D251" i="1" s="1"/>
  <c r="C250" i="1"/>
  <c r="E250" i="1" s="1"/>
  <c r="B250" i="1"/>
  <c r="C249" i="1"/>
  <c r="B249" i="1"/>
  <c r="D249" i="1" s="1"/>
  <c r="E248" i="1"/>
  <c r="D248" i="1"/>
  <c r="C248" i="1"/>
  <c r="B248" i="1"/>
  <c r="C247" i="1"/>
  <c r="E247" i="1" s="1"/>
  <c r="B247" i="1"/>
  <c r="E246" i="1"/>
  <c r="D246" i="1"/>
  <c r="C244" i="1"/>
  <c r="B244" i="1"/>
  <c r="D244" i="1" s="1"/>
  <c r="C243" i="1"/>
  <c r="B243" i="1"/>
  <c r="C242" i="1"/>
  <c r="B242" i="1"/>
  <c r="C241" i="1"/>
  <c r="B241" i="1"/>
  <c r="D241" i="1" s="1"/>
  <c r="E240" i="1"/>
  <c r="D240" i="1"/>
  <c r="C240" i="1"/>
  <c r="B240" i="1"/>
  <c r="C239" i="1"/>
  <c r="B239" i="1"/>
  <c r="C238" i="1"/>
  <c r="B238" i="1"/>
  <c r="E237" i="1"/>
  <c r="D237" i="1"/>
  <c r="C236" i="1"/>
  <c r="E236" i="1" s="1"/>
  <c r="B236" i="1"/>
  <c r="E235" i="1"/>
  <c r="D235" i="1"/>
  <c r="C235" i="1"/>
  <c r="E234" i="1"/>
  <c r="D234" i="1"/>
  <c r="C232" i="1"/>
  <c r="B232" i="1"/>
  <c r="E231" i="1"/>
  <c r="D231" i="1"/>
  <c r="C231" i="1"/>
  <c r="C230" i="1"/>
  <c r="B230" i="1"/>
  <c r="E230" i="1" s="1"/>
  <c r="C229" i="1"/>
  <c r="B229" i="1"/>
  <c r="B233" i="1" s="1"/>
  <c r="C228" i="1"/>
  <c r="E228" i="1" s="1"/>
  <c r="B228" i="1"/>
  <c r="C227" i="1"/>
  <c r="D227" i="1" s="1"/>
  <c r="C226" i="1"/>
  <c r="B226" i="1"/>
  <c r="C225" i="1"/>
  <c r="E224" i="1"/>
  <c r="D224" i="1"/>
  <c r="E222" i="1"/>
  <c r="C222" i="1"/>
  <c r="D222" i="1" s="1"/>
  <c r="C221" i="1"/>
  <c r="B221" i="1"/>
  <c r="C220" i="1"/>
  <c r="B220" i="1"/>
  <c r="E219" i="1"/>
  <c r="C219" i="1"/>
  <c r="D219" i="1" s="1"/>
  <c r="C218" i="1"/>
  <c r="B218" i="1"/>
  <c r="C217" i="1"/>
  <c r="B217" i="1"/>
  <c r="C216" i="1"/>
  <c r="B216" i="1"/>
  <c r="C215" i="1"/>
  <c r="E215" i="1" s="1"/>
  <c r="B215" i="1"/>
  <c r="E214" i="1"/>
  <c r="D214" i="1"/>
  <c r="B212" i="1"/>
  <c r="C211" i="1"/>
  <c r="E211" i="1" s="1"/>
  <c r="C210" i="1"/>
  <c r="D210" i="1" s="1"/>
  <c r="C209" i="1"/>
  <c r="C208" i="1"/>
  <c r="E208" i="1" s="1"/>
  <c r="E207" i="1"/>
  <c r="D207" i="1"/>
  <c r="C207" i="1"/>
  <c r="E206" i="1"/>
  <c r="D206" i="1"/>
  <c r="B204" i="1"/>
  <c r="C198" i="1"/>
  <c r="B198" i="1"/>
  <c r="C197" i="1"/>
  <c r="E197" i="1" s="1"/>
  <c r="E196" i="1"/>
  <c r="D196" i="1"/>
  <c r="E195" i="1"/>
  <c r="D195" i="1"/>
  <c r="E194" i="1"/>
  <c r="D194" i="1"/>
  <c r="C192" i="1"/>
  <c r="E192" i="1" s="1"/>
  <c r="E191" i="1"/>
  <c r="C191" i="1"/>
  <c r="D191" i="1" s="1"/>
  <c r="C190" i="1"/>
  <c r="B190" i="1"/>
  <c r="C189" i="1"/>
  <c r="E189" i="1" s="1"/>
  <c r="B189" i="1"/>
  <c r="C188" i="1"/>
  <c r="B188" i="1"/>
  <c r="E187" i="1"/>
  <c r="D187" i="1"/>
  <c r="C186" i="1"/>
  <c r="B186" i="1"/>
  <c r="E183" i="1"/>
  <c r="C183" i="1"/>
  <c r="B183" i="1"/>
  <c r="D183" i="1" s="1"/>
  <c r="C182" i="1"/>
  <c r="B182" i="1"/>
  <c r="D182" i="1" s="1"/>
  <c r="C181" i="1"/>
  <c r="B181" i="1"/>
  <c r="D181" i="1" s="1"/>
  <c r="C180" i="1"/>
  <c r="B180" i="1"/>
  <c r="C179" i="1"/>
  <c r="B179" i="1"/>
  <c r="D179" i="1" s="1"/>
  <c r="C178" i="1"/>
  <c r="B178" i="1"/>
  <c r="C177" i="1"/>
  <c r="E177" i="1" s="1"/>
  <c r="B177" i="1"/>
  <c r="D177" i="1" s="1"/>
  <c r="C176" i="1"/>
  <c r="B176" i="1"/>
  <c r="E175" i="1"/>
  <c r="C175" i="1"/>
  <c r="D175" i="1" s="1"/>
  <c r="C174" i="1"/>
  <c r="B174" i="1"/>
  <c r="E173" i="1"/>
  <c r="D173" i="1"/>
  <c r="C171" i="1"/>
  <c r="B171" i="1"/>
  <c r="D171" i="1" s="1"/>
  <c r="C170" i="1"/>
  <c r="B170" i="1"/>
  <c r="C169" i="1"/>
  <c r="B169" i="1"/>
  <c r="D169" i="1" s="1"/>
  <c r="C168" i="1"/>
  <c r="D168" i="1" s="1"/>
  <c r="B168" i="1"/>
  <c r="C167" i="1"/>
  <c r="B167" i="1"/>
  <c r="C166" i="1"/>
  <c r="B166" i="1"/>
  <c r="E166" i="1" s="1"/>
  <c r="C165" i="1"/>
  <c r="B165" i="1"/>
  <c r="D165" i="1" s="1"/>
  <c r="C164" i="1"/>
  <c r="B164" i="1"/>
  <c r="E164" i="1" s="1"/>
  <c r="C163" i="1"/>
  <c r="B163" i="1"/>
  <c r="D163" i="1" s="1"/>
  <c r="E162" i="1"/>
  <c r="D162" i="1"/>
  <c r="E160" i="1"/>
  <c r="C160" i="1"/>
  <c r="D160" i="1" s="1"/>
  <c r="B160" i="1"/>
  <c r="C159" i="1"/>
  <c r="B159" i="1"/>
  <c r="C158" i="1"/>
  <c r="B158" i="1"/>
  <c r="C157" i="1"/>
  <c r="B157" i="1"/>
  <c r="C156" i="1"/>
  <c r="E156" i="1" s="1"/>
  <c r="B156" i="1"/>
  <c r="C155" i="1"/>
  <c r="B155" i="1"/>
  <c r="C154" i="1"/>
  <c r="B154" i="1"/>
  <c r="C153" i="1"/>
  <c r="B153" i="1"/>
  <c r="E152" i="1"/>
  <c r="C152" i="1"/>
  <c r="D152" i="1" s="1"/>
  <c r="C151" i="1"/>
  <c r="D151" i="1" s="1"/>
  <c r="B151" i="1"/>
  <c r="E150" i="1"/>
  <c r="D150" i="1"/>
  <c r="C148" i="1"/>
  <c r="B148" i="1"/>
  <c r="C147" i="1"/>
  <c r="E147" i="1" s="1"/>
  <c r="B147" i="1"/>
  <c r="C146" i="1"/>
  <c r="B146" i="1"/>
  <c r="C145" i="1"/>
  <c r="B145" i="1"/>
  <c r="D145" i="1" s="1"/>
  <c r="C144" i="1"/>
  <c r="B144" i="1"/>
  <c r="C143" i="1"/>
  <c r="E143" i="1" s="1"/>
  <c r="B143" i="1"/>
  <c r="C142" i="1"/>
  <c r="B142" i="1"/>
  <c r="C141" i="1"/>
  <c r="E141" i="1" s="1"/>
  <c r="B141" i="1"/>
  <c r="D141" i="1" s="1"/>
  <c r="C140" i="1"/>
  <c r="C139" i="1"/>
  <c r="B139" i="1"/>
  <c r="E138" i="1"/>
  <c r="D138" i="1"/>
  <c r="E137" i="1"/>
  <c r="D137" i="1"/>
  <c r="E136" i="1"/>
  <c r="D136" i="1"/>
  <c r="C133" i="1"/>
  <c r="B133" i="1"/>
  <c r="C132" i="1"/>
  <c r="B132" i="1"/>
  <c r="C131" i="1"/>
  <c r="B131" i="1"/>
  <c r="E130" i="1"/>
  <c r="D130" i="1"/>
  <c r="E128" i="1"/>
  <c r="C128" i="1"/>
  <c r="D128" i="1" s="1"/>
  <c r="C127" i="1"/>
  <c r="B127" i="1"/>
  <c r="B129" i="1" s="1"/>
  <c r="E126" i="1"/>
  <c r="D126" i="1"/>
  <c r="C124" i="1"/>
  <c r="B124" i="1"/>
  <c r="B125" i="1" s="1"/>
  <c r="C123" i="1"/>
  <c r="B123" i="1"/>
  <c r="C120" i="1"/>
  <c r="D120" i="1" s="1"/>
  <c r="C119" i="1"/>
  <c r="E119" i="1" s="1"/>
  <c r="B119" i="1"/>
  <c r="C118" i="1"/>
  <c r="E117" i="1"/>
  <c r="D117" i="1"/>
  <c r="C116" i="1"/>
  <c r="B116" i="1"/>
  <c r="C115" i="1"/>
  <c r="B115" i="1"/>
  <c r="C114" i="1"/>
  <c r="B114" i="1"/>
  <c r="C112" i="1"/>
  <c r="B112" i="1"/>
  <c r="D112" i="1" s="1"/>
  <c r="C111" i="1"/>
  <c r="B111" i="1"/>
  <c r="E111" i="1" s="1"/>
  <c r="C110" i="1"/>
  <c r="B110" i="1"/>
  <c r="E109" i="1"/>
  <c r="D109" i="1"/>
  <c r="E108" i="1"/>
  <c r="D108" i="1"/>
  <c r="C105" i="1"/>
  <c r="E104" i="1"/>
  <c r="B104" i="1"/>
  <c r="D104" i="1" s="1"/>
  <c r="E102" i="1"/>
  <c r="C102" i="1"/>
  <c r="B102" i="1"/>
  <c r="D102" i="1" s="1"/>
  <c r="C101" i="1"/>
  <c r="E101" i="1" s="1"/>
  <c r="E100" i="1"/>
  <c r="B100" i="1"/>
  <c r="D100" i="1" s="1"/>
  <c r="C99" i="1"/>
  <c r="E99" i="1" s="1"/>
  <c r="E98" i="1"/>
  <c r="D98" i="1"/>
  <c r="C96" i="1"/>
  <c r="D96" i="1" s="1"/>
  <c r="B96" i="1"/>
  <c r="C95" i="1"/>
  <c r="B95" i="1"/>
  <c r="C94" i="1"/>
  <c r="B94" i="1"/>
  <c r="C93" i="1"/>
  <c r="E93" i="1" s="1"/>
  <c r="C92" i="1"/>
  <c r="D92" i="1" s="1"/>
  <c r="E91" i="1"/>
  <c r="D91" i="1"/>
  <c r="E90" i="1"/>
  <c r="D90" i="1"/>
  <c r="E89" i="1"/>
  <c r="C89" i="1"/>
  <c r="B89" i="1"/>
  <c r="D89" i="1" s="1"/>
  <c r="C88" i="1"/>
  <c r="B88" i="1"/>
  <c r="D88" i="1" s="1"/>
  <c r="B86" i="1"/>
  <c r="C85" i="1"/>
  <c r="E85" i="1" s="1"/>
  <c r="B85" i="1"/>
  <c r="C84" i="1"/>
  <c r="B84" i="1"/>
  <c r="D84" i="1" s="1"/>
  <c r="E83" i="1"/>
  <c r="D83" i="1"/>
  <c r="C82" i="1"/>
  <c r="B82" i="1"/>
  <c r="C81" i="1"/>
  <c r="B81" i="1"/>
  <c r="C80" i="1"/>
  <c r="B80" i="1"/>
  <c r="C79" i="1"/>
  <c r="B79" i="1"/>
  <c r="E78" i="1"/>
  <c r="B78" i="1"/>
  <c r="D78" i="1" s="1"/>
  <c r="C77" i="1"/>
  <c r="C76" i="1"/>
  <c r="B76" i="1"/>
  <c r="B77" i="1" s="1"/>
  <c r="E75" i="1"/>
  <c r="D75" i="1"/>
  <c r="E74" i="1"/>
  <c r="D74" i="1"/>
  <c r="C68" i="1"/>
  <c r="B68" i="1"/>
  <c r="E68" i="1" s="1"/>
  <c r="C67" i="1"/>
  <c r="B67" i="1"/>
  <c r="C66" i="1"/>
  <c r="B66" i="1"/>
  <c r="E65" i="1"/>
  <c r="D65" i="1"/>
  <c r="C64" i="1"/>
  <c r="B64" i="1"/>
  <c r="D64" i="1" s="1"/>
  <c r="C63" i="1"/>
  <c r="B63" i="1"/>
  <c r="D63" i="1" s="1"/>
  <c r="E62" i="1"/>
  <c r="D62" i="1"/>
  <c r="C60" i="1"/>
  <c r="B60" i="1"/>
  <c r="D60" i="1" s="1"/>
  <c r="E59" i="1"/>
  <c r="B59" i="1"/>
  <c r="D59" i="1" s="1"/>
  <c r="C58" i="1"/>
  <c r="B58" i="1"/>
  <c r="D58" i="1" s="1"/>
  <c r="C57" i="1"/>
  <c r="B57" i="1"/>
  <c r="C56" i="1"/>
  <c r="B56" i="1"/>
  <c r="D56" i="1" s="1"/>
  <c r="C55" i="1"/>
  <c r="B55" i="1"/>
  <c r="C53" i="1"/>
  <c r="B53" i="1"/>
  <c r="E53" i="1" s="1"/>
  <c r="C52" i="1"/>
  <c r="E52" i="1" s="1"/>
  <c r="B52" i="1"/>
  <c r="D52" i="1" s="1"/>
  <c r="C51" i="1"/>
  <c r="B51" i="1"/>
  <c r="D51" i="1" s="1"/>
  <c r="C50" i="1"/>
  <c r="B50" i="1"/>
  <c r="E50" i="1" s="1"/>
  <c r="C49" i="1"/>
  <c r="B49" i="1"/>
  <c r="E49" i="1" s="1"/>
  <c r="C48" i="1"/>
  <c r="D48" i="1" s="1"/>
  <c r="C47" i="1"/>
  <c r="E47" i="1" s="1"/>
  <c r="B47" i="1"/>
  <c r="E46" i="1"/>
  <c r="D46" i="1"/>
  <c r="C43" i="1"/>
  <c r="B43" i="1"/>
  <c r="C42" i="1"/>
  <c r="D42" i="1" s="1"/>
  <c r="B42" i="1"/>
  <c r="C41" i="1"/>
  <c r="B41" i="1"/>
  <c r="E40" i="1"/>
  <c r="D40" i="1"/>
  <c r="C38" i="1"/>
  <c r="B38" i="1"/>
  <c r="D38" i="1" s="1"/>
  <c r="C37" i="1"/>
  <c r="E37" i="1" s="1"/>
  <c r="B37" i="1"/>
  <c r="C36" i="1"/>
  <c r="D36" i="1" s="1"/>
  <c r="B36" i="1"/>
  <c r="E35" i="1"/>
  <c r="D35" i="1"/>
  <c r="C34" i="1"/>
  <c r="D33" i="1"/>
  <c r="C33" i="1"/>
  <c r="E33" i="1" s="1"/>
  <c r="B33" i="1"/>
  <c r="C32" i="1"/>
  <c r="E32" i="1" s="1"/>
  <c r="B32" i="1"/>
  <c r="C31" i="1"/>
  <c r="B31" i="1"/>
  <c r="E31" i="1" s="1"/>
  <c r="E30" i="1"/>
  <c r="D30" i="1"/>
  <c r="C28" i="1"/>
  <c r="B28" i="1"/>
  <c r="C27" i="1"/>
  <c r="B27" i="1"/>
  <c r="C26" i="1"/>
  <c r="E26" i="1" s="1"/>
  <c r="B26" i="1"/>
  <c r="B29" i="1" s="1"/>
  <c r="E25" i="1"/>
  <c r="D25" i="1"/>
  <c r="E24" i="1"/>
  <c r="D24" i="1"/>
  <c r="C22" i="1"/>
  <c r="E22" i="1" s="1"/>
  <c r="B22" i="1"/>
  <c r="C21" i="1"/>
  <c r="B21" i="1"/>
  <c r="D21" i="1" s="1"/>
  <c r="E20" i="1"/>
  <c r="C20" i="1"/>
  <c r="B20" i="1"/>
  <c r="E19" i="1"/>
  <c r="B19" i="1"/>
  <c r="D19" i="1" s="1"/>
  <c r="C18" i="1"/>
  <c r="B18" i="1"/>
  <c r="D18" i="1" s="1"/>
  <c r="C17" i="1"/>
  <c r="E17" i="1" s="1"/>
  <c r="B17" i="1"/>
  <c r="C16" i="1"/>
  <c r="E16" i="1" s="1"/>
  <c r="C15" i="1"/>
  <c r="B15" i="1"/>
  <c r="C13" i="1"/>
  <c r="E13" i="1" s="1"/>
  <c r="C12" i="1"/>
  <c r="C14" i="1" s="1"/>
  <c r="B12" i="1"/>
  <c r="C11" i="1"/>
  <c r="B11" i="1"/>
  <c r="C10" i="1"/>
  <c r="B10" i="1"/>
  <c r="C9" i="1"/>
  <c r="B9" i="1"/>
  <c r="E8" i="1"/>
  <c r="D8" i="1"/>
  <c r="D8" i="17"/>
  <c r="C8" i="17"/>
  <c r="B8" i="17"/>
  <c r="E4" i="17"/>
  <c r="B4" i="17"/>
  <c r="D4" i="17" s="1"/>
  <c r="C6" i="17"/>
  <c r="B6" i="17"/>
  <c r="C4" i="16"/>
  <c r="C6" i="16" s="1"/>
  <c r="C5" i="16"/>
  <c r="D7" i="14"/>
  <c r="C7" i="14"/>
  <c r="E7" i="14" s="1"/>
  <c r="B7" i="14"/>
  <c r="C6" i="14"/>
  <c r="E6" i="14" s="1"/>
  <c r="B6" i="14"/>
  <c r="D6" i="14" s="1"/>
  <c r="D5" i="14"/>
  <c r="C5" i="14"/>
  <c r="E5" i="14" s="1"/>
  <c r="B5" i="14"/>
  <c r="E4" i="14"/>
  <c r="D4" i="14"/>
  <c r="C19" i="14"/>
  <c r="E19" i="14" s="1"/>
  <c r="B19" i="14"/>
  <c r="D19" i="14" s="1"/>
  <c r="C18" i="14"/>
  <c r="E18" i="14" s="1"/>
  <c r="C17" i="14"/>
  <c r="E17" i="14" s="1"/>
  <c r="B17" i="14"/>
  <c r="D17" i="14" s="1"/>
  <c r="E16" i="14"/>
  <c r="C16" i="14"/>
  <c r="B16" i="14"/>
  <c r="D16" i="14" s="1"/>
  <c r="C15" i="14"/>
  <c r="E15" i="14" s="1"/>
  <c r="B15" i="14"/>
  <c r="D15" i="14" s="1"/>
  <c r="E14" i="14"/>
  <c r="C14" i="14"/>
  <c r="B14" i="14"/>
  <c r="D14" i="14" s="1"/>
  <c r="C13" i="14"/>
  <c r="E13" i="14" s="1"/>
  <c r="B13" i="14"/>
  <c r="D13" i="14" s="1"/>
  <c r="E12" i="14"/>
  <c r="C12" i="14"/>
  <c r="B12" i="14"/>
  <c r="D12" i="14" s="1"/>
  <c r="C11" i="14"/>
  <c r="C20" i="14" s="1"/>
  <c r="E20" i="14" s="1"/>
  <c r="B11" i="14"/>
  <c r="B20" i="14" s="1"/>
  <c r="E10" i="14"/>
  <c r="D10" i="14"/>
  <c r="C15" i="11"/>
  <c r="C13" i="11"/>
  <c r="C12" i="11"/>
  <c r="E12" i="11" s="1"/>
  <c r="C11" i="11"/>
  <c r="E11" i="11" s="1"/>
  <c r="C10" i="11"/>
  <c r="C9" i="11"/>
  <c r="E9" i="11" s="1"/>
  <c r="D9" i="11"/>
  <c r="E8" i="11"/>
  <c r="C8" i="11"/>
  <c r="D8" i="11" s="1"/>
  <c r="E7" i="11"/>
  <c r="D7" i="11"/>
  <c r="C7" i="11"/>
  <c r="E6" i="11"/>
  <c r="C4" i="11"/>
  <c r="E4" i="11" s="1"/>
  <c r="B4" i="11"/>
  <c r="C17" i="10"/>
  <c r="D17" i="10"/>
  <c r="E17" i="10"/>
  <c r="B17" i="10"/>
  <c r="C15" i="10"/>
  <c r="E15" i="10" s="1"/>
  <c r="B15" i="10"/>
  <c r="D15" i="10" s="1"/>
  <c r="C14" i="10"/>
  <c r="E14" i="10" s="1"/>
  <c r="B14" i="10"/>
  <c r="D14" i="10" s="1"/>
  <c r="C13" i="10"/>
  <c r="E13" i="10" s="1"/>
  <c r="E12" i="10"/>
  <c r="C12" i="10"/>
  <c r="B12" i="10"/>
  <c r="D12" i="10" s="1"/>
  <c r="E11" i="10"/>
  <c r="C11" i="10"/>
  <c r="D11" i="10" s="1"/>
  <c r="D10" i="10"/>
  <c r="C10" i="10"/>
  <c r="B10" i="10"/>
  <c r="E10" i="10" s="1"/>
  <c r="E9" i="10"/>
  <c r="D9" i="10"/>
  <c r="C9" i="10"/>
  <c r="B9" i="10"/>
  <c r="D8" i="10"/>
  <c r="C8" i="10"/>
  <c r="B8" i="10"/>
  <c r="B16" i="10" s="1"/>
  <c r="E7" i="10"/>
  <c r="D7" i="10"/>
  <c r="C7" i="10"/>
  <c r="C16" i="10" s="1"/>
  <c r="E16" i="10" s="1"/>
  <c r="B7" i="10"/>
  <c r="E6" i="10"/>
  <c r="D6" i="10"/>
  <c r="C4" i="10"/>
  <c r="E4" i="10" s="1"/>
  <c r="B4" i="10"/>
  <c r="D17" i="9"/>
  <c r="C17" i="9"/>
  <c r="B17" i="9"/>
  <c r="E4" i="9"/>
  <c r="C4" i="9"/>
  <c r="B4" i="9"/>
  <c r="D4" i="9" s="1"/>
  <c r="C15" i="9"/>
  <c r="B15" i="9"/>
  <c r="E15" i="9" s="1"/>
  <c r="C14" i="9"/>
  <c r="E14" i="9" s="1"/>
  <c r="B14" i="9"/>
  <c r="E13" i="9"/>
  <c r="D13" i="9"/>
  <c r="C13" i="9"/>
  <c r="C12" i="9"/>
  <c r="E12" i="9" s="1"/>
  <c r="B12" i="9"/>
  <c r="D12" i="9" s="1"/>
  <c r="C11" i="9"/>
  <c r="E11" i="9" s="1"/>
  <c r="C10" i="9"/>
  <c r="E10" i="9" s="1"/>
  <c r="B10" i="9"/>
  <c r="D10" i="9" s="1"/>
  <c r="E9" i="9"/>
  <c r="C9" i="9"/>
  <c r="B9" i="9"/>
  <c r="D9" i="9" s="1"/>
  <c r="D8" i="9"/>
  <c r="C8" i="9"/>
  <c r="E8" i="9" s="1"/>
  <c r="E7" i="9"/>
  <c r="D7" i="9"/>
  <c r="C7" i="9"/>
  <c r="B7" i="9"/>
  <c r="B16" i="9" s="1"/>
  <c r="E6" i="9"/>
  <c r="D6" i="9"/>
  <c r="D33" i="8"/>
  <c r="C33" i="8"/>
  <c r="B33" i="8"/>
  <c r="E7" i="8"/>
  <c r="C7" i="8"/>
  <c r="B7" i="8"/>
  <c r="D7" i="8" s="1"/>
  <c r="E5" i="8"/>
  <c r="C5" i="8"/>
  <c r="B5" i="8"/>
  <c r="D5" i="8" s="1"/>
  <c r="C4" i="8"/>
  <c r="E4" i="8" s="1"/>
  <c r="B4" i="8"/>
  <c r="D4" i="8" s="1"/>
  <c r="C28" i="8"/>
  <c r="E28" i="8" s="1"/>
  <c r="B28" i="8"/>
  <c r="D28" i="8" s="1"/>
  <c r="C27" i="8"/>
  <c r="E27" i="8" s="1"/>
  <c r="B27" i="8"/>
  <c r="D27" i="8" s="1"/>
  <c r="C26" i="8"/>
  <c r="E26" i="8" s="1"/>
  <c r="B26" i="8"/>
  <c r="D26" i="8" s="1"/>
  <c r="C25" i="8"/>
  <c r="E25" i="8" s="1"/>
  <c r="B25" i="8"/>
  <c r="D25" i="8" s="1"/>
  <c r="C24" i="8"/>
  <c r="E24" i="8" s="1"/>
  <c r="B24" i="8"/>
  <c r="D24" i="8" s="1"/>
  <c r="C23" i="8"/>
  <c r="E23" i="8" s="1"/>
  <c r="B23" i="8"/>
  <c r="D23" i="8" s="1"/>
  <c r="E22" i="8"/>
  <c r="D22" i="8"/>
  <c r="E20" i="8"/>
  <c r="D20" i="8"/>
  <c r="C20" i="8"/>
  <c r="B20" i="8"/>
  <c r="C19" i="8"/>
  <c r="E19" i="8" s="1"/>
  <c r="B19" i="8"/>
  <c r="D19" i="8" s="1"/>
  <c r="E18" i="8"/>
  <c r="D18" i="8"/>
  <c r="C18" i="8"/>
  <c r="B18" i="8"/>
  <c r="C17" i="8"/>
  <c r="E17" i="8" s="1"/>
  <c r="B17" i="8"/>
  <c r="D17" i="8" s="1"/>
  <c r="E16" i="8"/>
  <c r="D16" i="8"/>
  <c r="C16" i="8"/>
  <c r="B16" i="8"/>
  <c r="C15" i="8"/>
  <c r="E15" i="8" s="1"/>
  <c r="B15" i="8"/>
  <c r="D15" i="8" s="1"/>
  <c r="E14" i="8"/>
  <c r="D14" i="8"/>
  <c r="C14" i="8"/>
  <c r="B14" i="8"/>
  <c r="E13" i="8"/>
  <c r="D13" i="8"/>
  <c r="C12" i="8"/>
  <c r="E12" i="8" s="1"/>
  <c r="B12" i="8"/>
  <c r="E11" i="8"/>
  <c r="D11" i="8"/>
  <c r="C11" i="8"/>
  <c r="E10" i="8"/>
  <c r="D10" i="8"/>
  <c r="E14" i="7"/>
  <c r="D14" i="7"/>
  <c r="C14" i="7"/>
  <c r="C13" i="7"/>
  <c r="D13" i="7" s="1"/>
  <c r="B13" i="7"/>
  <c r="C12" i="7"/>
  <c r="D12" i="7" s="1"/>
  <c r="B12" i="7"/>
  <c r="C11" i="7"/>
  <c r="D11" i="7" s="1"/>
  <c r="C10" i="7"/>
  <c r="E10" i="7" s="1"/>
  <c r="B10" i="7"/>
  <c r="D10" i="7" s="1"/>
  <c r="C9" i="7"/>
  <c r="E9" i="7" s="1"/>
  <c r="B9" i="7"/>
  <c r="D9" i="7" s="1"/>
  <c r="C8" i="7"/>
  <c r="E8" i="7" s="1"/>
  <c r="B8" i="7"/>
  <c r="D8" i="7" s="1"/>
  <c r="C7" i="7"/>
  <c r="C15" i="7" s="1"/>
  <c r="B7" i="7"/>
  <c r="B15" i="7" s="1"/>
  <c r="D15" i="7" s="1"/>
  <c r="E6" i="7"/>
  <c r="D6" i="7"/>
  <c r="E4" i="7"/>
  <c r="C4" i="7"/>
  <c r="B4" i="7"/>
  <c r="D4" i="7" s="1"/>
  <c r="D22" i="12"/>
  <c r="C22" i="12"/>
  <c r="B22" i="12"/>
  <c r="E22" i="12"/>
  <c r="C5" i="12"/>
  <c r="E5" i="12" s="1"/>
  <c r="B5" i="12"/>
  <c r="C4" i="12"/>
  <c r="B4" i="12"/>
  <c r="E4" i="12" s="1"/>
  <c r="E19" i="12"/>
  <c r="D19" i="12"/>
  <c r="C19" i="12"/>
  <c r="E18" i="12"/>
  <c r="C18" i="12"/>
  <c r="D18" i="12" s="1"/>
  <c r="E17" i="12"/>
  <c r="C17" i="12"/>
  <c r="B17" i="12"/>
  <c r="D17" i="12" s="1"/>
  <c r="D16" i="12"/>
  <c r="C16" i="12"/>
  <c r="B16" i="12"/>
  <c r="E16" i="12" s="1"/>
  <c r="E15" i="12"/>
  <c r="C15" i="12"/>
  <c r="B15" i="12"/>
  <c r="D15" i="12" s="1"/>
  <c r="D14" i="12"/>
  <c r="C14" i="12"/>
  <c r="B14" i="12"/>
  <c r="E14" i="12" s="1"/>
  <c r="E13" i="12"/>
  <c r="C13" i="12"/>
  <c r="B13" i="12"/>
  <c r="D13" i="12" s="1"/>
  <c r="D12" i="12"/>
  <c r="C12" i="12"/>
  <c r="B12" i="12"/>
  <c r="E12" i="12" s="1"/>
  <c r="E11" i="12"/>
  <c r="C11" i="12"/>
  <c r="B11" i="12"/>
  <c r="D11" i="12" s="1"/>
  <c r="E10" i="12"/>
  <c r="D10" i="12"/>
  <c r="B10" i="12"/>
  <c r="E9" i="12"/>
  <c r="D9" i="12"/>
  <c r="C9" i="12"/>
  <c r="B9" i="12"/>
  <c r="B20" i="12" s="1"/>
  <c r="E8" i="12"/>
  <c r="D8" i="12"/>
  <c r="C10" i="6"/>
  <c r="E10" i="6" s="1"/>
  <c r="B10" i="6"/>
  <c r="D10" i="6" s="1"/>
  <c r="E9" i="6"/>
  <c r="D9" i="6"/>
  <c r="C9" i="6"/>
  <c r="B9" i="6"/>
  <c r="B11" i="6" s="1"/>
  <c r="D11" i="6" s="1"/>
  <c r="D8" i="6"/>
  <c r="C8" i="6"/>
  <c r="C11" i="6" s="1"/>
  <c r="E7" i="6"/>
  <c r="D7" i="6"/>
  <c r="C4" i="6"/>
  <c r="E4" i="6" s="1"/>
  <c r="B4" i="6"/>
  <c r="C19" i="5"/>
  <c r="E19" i="5" s="1"/>
  <c r="B19" i="5"/>
  <c r="D19" i="5" s="1"/>
  <c r="C18" i="5"/>
  <c r="E18" i="5" s="1"/>
  <c r="B18" i="5"/>
  <c r="C17" i="5"/>
  <c r="E17" i="5" s="1"/>
  <c r="B17" i="5"/>
  <c r="D17" i="5" s="1"/>
  <c r="C16" i="5"/>
  <c r="E16" i="5" s="1"/>
  <c r="B16" i="5"/>
  <c r="C15" i="5"/>
  <c r="E15" i="5" s="1"/>
  <c r="B15" i="5"/>
  <c r="D15" i="5" s="1"/>
  <c r="C14" i="5"/>
  <c r="E14" i="5" s="1"/>
  <c r="B14" i="5"/>
  <c r="C13" i="5"/>
  <c r="E13" i="5" s="1"/>
  <c r="B13" i="5"/>
  <c r="D13" i="5" s="1"/>
  <c r="C12" i="5"/>
  <c r="E12" i="5" s="1"/>
  <c r="B12" i="5"/>
  <c r="C11" i="5"/>
  <c r="E11" i="5" s="1"/>
  <c r="B11" i="5"/>
  <c r="B20" i="5" s="1"/>
  <c r="E10" i="5"/>
  <c r="D10" i="5"/>
  <c r="C7" i="5"/>
  <c r="E7" i="5" s="1"/>
  <c r="B7" i="5"/>
  <c r="D7" i="5" s="1"/>
  <c r="C6" i="5"/>
  <c r="E6" i="5" s="1"/>
  <c r="B6" i="5"/>
  <c r="D6" i="5" s="1"/>
  <c r="C5" i="5"/>
  <c r="C8" i="5" s="1"/>
  <c r="E8" i="5" s="1"/>
  <c r="B5" i="5"/>
  <c r="B8" i="5" s="1"/>
  <c r="E4" i="5"/>
  <c r="D4" i="5"/>
  <c r="D7" i="4"/>
  <c r="C7" i="4"/>
  <c r="E7" i="4" s="1"/>
  <c r="B7" i="4"/>
  <c r="C6" i="4"/>
  <c r="E6" i="4" s="1"/>
  <c r="B6" i="4"/>
  <c r="D6" i="4" s="1"/>
  <c r="D5" i="4"/>
  <c r="C5" i="4"/>
  <c r="C8" i="4" s="1"/>
  <c r="B5" i="4"/>
  <c r="B8" i="4" s="1"/>
  <c r="D8" i="4" s="1"/>
  <c r="E4" i="4"/>
  <c r="D4" i="4"/>
  <c r="C20" i="4"/>
  <c r="E20" i="4" s="1"/>
  <c r="B20" i="4"/>
  <c r="D20" i="4" s="1"/>
  <c r="C19" i="4"/>
  <c r="E19" i="4" s="1"/>
  <c r="B19" i="4"/>
  <c r="D19" i="4" s="1"/>
  <c r="C18" i="4"/>
  <c r="E18" i="4" s="1"/>
  <c r="B18" i="4"/>
  <c r="D18" i="4" s="1"/>
  <c r="C17" i="4"/>
  <c r="E17" i="4" s="1"/>
  <c r="B17" i="4"/>
  <c r="D17" i="4" s="1"/>
  <c r="C16" i="4"/>
  <c r="E16" i="4" s="1"/>
  <c r="B16" i="4"/>
  <c r="D16" i="4" s="1"/>
  <c r="C15" i="4"/>
  <c r="E15" i="4" s="1"/>
  <c r="B15" i="4"/>
  <c r="D15" i="4" s="1"/>
  <c r="C14" i="4"/>
  <c r="E14" i="4" s="1"/>
  <c r="B14" i="4"/>
  <c r="D14" i="4" s="1"/>
  <c r="C13" i="4"/>
  <c r="E13" i="4" s="1"/>
  <c r="B13" i="4"/>
  <c r="D13" i="4" s="1"/>
  <c r="C12" i="4"/>
  <c r="D12" i="4" s="1"/>
  <c r="E11" i="4"/>
  <c r="C11" i="4"/>
  <c r="C21" i="4" s="1"/>
  <c r="B11" i="4"/>
  <c r="D11" i="4" s="1"/>
  <c r="E10" i="4"/>
  <c r="D10" i="4"/>
  <c r="C7" i="3"/>
  <c r="E7" i="3" s="1"/>
  <c r="B7" i="3"/>
  <c r="D7" i="3" s="1"/>
  <c r="C6" i="3"/>
  <c r="E6" i="3" s="1"/>
  <c r="B6" i="3"/>
  <c r="C5" i="3"/>
  <c r="E5" i="3" s="1"/>
  <c r="B5" i="3"/>
  <c r="B8" i="3" s="1"/>
  <c r="E4" i="3"/>
  <c r="D4" i="3"/>
  <c r="C20" i="3"/>
  <c r="E20" i="3" s="1"/>
  <c r="B20" i="3"/>
  <c r="D20" i="3" s="1"/>
  <c r="C19" i="3"/>
  <c r="E19" i="3" s="1"/>
  <c r="B19" i="3"/>
  <c r="C18" i="3"/>
  <c r="E18" i="3" s="1"/>
  <c r="B18" i="3"/>
  <c r="D18" i="3" s="1"/>
  <c r="C17" i="3"/>
  <c r="E17" i="3" s="1"/>
  <c r="B17" i="3"/>
  <c r="C16" i="3"/>
  <c r="E16" i="3" s="1"/>
  <c r="B16" i="3"/>
  <c r="D16" i="3" s="1"/>
  <c r="C15" i="3"/>
  <c r="E15" i="3" s="1"/>
  <c r="B15" i="3"/>
  <c r="C14" i="3"/>
  <c r="E14" i="3" s="1"/>
  <c r="B14" i="3"/>
  <c r="D14" i="3" s="1"/>
  <c r="C13" i="3"/>
  <c r="E13" i="3" s="1"/>
  <c r="B13" i="3"/>
  <c r="D12" i="3"/>
  <c r="C12" i="3"/>
  <c r="E12" i="3" s="1"/>
  <c r="C11" i="3"/>
  <c r="E11" i="3" s="1"/>
  <c r="B11" i="3"/>
  <c r="D11" i="3" s="1"/>
  <c r="E23" i="2"/>
  <c r="D23" i="2"/>
  <c r="C23" i="2"/>
  <c r="B23" i="2"/>
  <c r="C20" i="2"/>
  <c r="E20" i="2" s="1"/>
  <c r="B20" i="2"/>
  <c r="D20" i="2" s="1"/>
  <c r="C19" i="2"/>
  <c r="E19" i="2" s="1"/>
  <c r="B19" i="2"/>
  <c r="C18" i="2"/>
  <c r="E18" i="2" s="1"/>
  <c r="B18" i="2"/>
  <c r="D18" i="2" s="1"/>
  <c r="C17" i="2"/>
  <c r="E17" i="2" s="1"/>
  <c r="B17" i="2"/>
  <c r="C16" i="2"/>
  <c r="E16" i="2" s="1"/>
  <c r="B16" i="2"/>
  <c r="D16" i="2" s="1"/>
  <c r="C15" i="2"/>
  <c r="E15" i="2" s="1"/>
  <c r="B15" i="2"/>
  <c r="C14" i="2"/>
  <c r="E14" i="2" s="1"/>
  <c r="B14" i="2"/>
  <c r="D14" i="2" s="1"/>
  <c r="C13" i="2"/>
  <c r="E13" i="2" s="1"/>
  <c r="B13" i="2"/>
  <c r="C12" i="2"/>
  <c r="E12" i="2" s="1"/>
  <c r="E11" i="2"/>
  <c r="C11" i="2"/>
  <c r="C21" i="2" s="1"/>
  <c r="B11" i="2"/>
  <c r="D11" i="2" s="1"/>
  <c r="E10" i="2"/>
  <c r="D10" i="2"/>
  <c r="C7" i="2"/>
  <c r="B7" i="2"/>
  <c r="E7" i="2" s="1"/>
  <c r="E6" i="2"/>
  <c r="D6" i="2"/>
  <c r="C6" i="2"/>
  <c r="B6" i="2"/>
  <c r="C5" i="2"/>
  <c r="C8" i="2" s="1"/>
  <c r="B5" i="2"/>
  <c r="B8" i="2" s="1"/>
  <c r="D8" i="2" s="1"/>
  <c r="E4" i="2"/>
  <c r="D4" i="2"/>
  <c r="D6" i="16"/>
  <c r="B6" i="16"/>
  <c r="F340" i="1" l="1"/>
  <c r="D11" i="16"/>
  <c r="E11" i="16"/>
  <c r="D14" i="16"/>
  <c r="D17" i="16"/>
  <c r="D18" i="16"/>
  <c r="B14" i="11"/>
  <c r="B15" i="11" s="1"/>
  <c r="E13" i="11"/>
  <c r="D10" i="11"/>
  <c r="E148" i="1"/>
  <c r="E293" i="1"/>
  <c r="D334" i="1"/>
  <c r="E48" i="1"/>
  <c r="E181" i="1"/>
  <c r="E226" i="1"/>
  <c r="E308" i="1"/>
  <c r="B321" i="1"/>
  <c r="E201" i="1"/>
  <c r="E145" i="1"/>
  <c r="D154" i="1"/>
  <c r="D170" i="1"/>
  <c r="D217" i="1"/>
  <c r="E221" i="1"/>
  <c r="C245" i="1"/>
  <c r="E249" i="1"/>
  <c r="E260" i="1"/>
  <c r="D282" i="1"/>
  <c r="E290" i="1"/>
  <c r="E303" i="1"/>
  <c r="E336" i="1"/>
  <c r="E199" i="1"/>
  <c r="E202" i="1"/>
  <c r="E244" i="1"/>
  <c r="D26" i="1"/>
  <c r="D82" i="1"/>
  <c r="E120" i="1"/>
  <c r="E190" i="1"/>
  <c r="E276" i="1"/>
  <c r="E313" i="1"/>
  <c r="E317" i="1"/>
  <c r="E334" i="1"/>
  <c r="D11" i="1"/>
  <c r="D27" i="1"/>
  <c r="D57" i="1"/>
  <c r="E123" i="1"/>
  <c r="C134" i="1"/>
  <c r="D142" i="1"/>
  <c r="E170" i="1"/>
  <c r="E242" i="1"/>
  <c r="B253" i="1"/>
  <c r="D252" i="1"/>
  <c r="D301" i="1"/>
  <c r="D306" i="1"/>
  <c r="B330" i="1"/>
  <c r="D330" i="1" s="1"/>
  <c r="D13" i="1"/>
  <c r="E94" i="1"/>
  <c r="E56" i="1"/>
  <c r="B193" i="1"/>
  <c r="E64" i="1"/>
  <c r="E251" i="1"/>
  <c r="E325" i="1"/>
  <c r="E38" i="1"/>
  <c r="E127" i="1"/>
  <c r="D20" i="1"/>
  <c r="E28" i="1"/>
  <c r="D47" i="1"/>
  <c r="E80" i="1"/>
  <c r="C86" i="1"/>
  <c r="C87" i="1" s="1"/>
  <c r="E92" i="1"/>
  <c r="E114" i="1"/>
  <c r="D119" i="1"/>
  <c r="C129" i="1"/>
  <c r="E129" i="1" s="1"/>
  <c r="E133" i="1"/>
  <c r="D143" i="1"/>
  <c r="D164" i="1"/>
  <c r="E179" i="1"/>
  <c r="D188" i="1"/>
  <c r="D215" i="1"/>
  <c r="D228" i="1"/>
  <c r="D236" i="1"/>
  <c r="D250" i="1"/>
  <c r="C253" i="1"/>
  <c r="E253" i="1" s="1"/>
  <c r="D271" i="1"/>
  <c r="D287" i="1"/>
  <c r="D307" i="1"/>
  <c r="E315" i="1"/>
  <c r="E323" i="1"/>
  <c r="E200" i="1"/>
  <c r="D203" i="1"/>
  <c r="E9" i="1"/>
  <c r="E21" i="1"/>
  <c r="E51" i="1"/>
  <c r="E305" i="1"/>
  <c r="E116" i="1"/>
  <c r="D37" i="1"/>
  <c r="E42" i="1"/>
  <c r="E63" i="1"/>
  <c r="E115" i="1"/>
  <c r="D189" i="1"/>
  <c r="C205" i="1"/>
  <c r="D284" i="1"/>
  <c r="B310" i="1"/>
  <c r="B331" i="1" s="1"/>
  <c r="D147" i="1"/>
  <c r="E171" i="1"/>
  <c r="D260" i="1"/>
  <c r="D263" i="1"/>
  <c r="D312" i="1"/>
  <c r="D314" i="1"/>
  <c r="D316" i="1"/>
  <c r="D318" i="1"/>
  <c r="D324" i="1"/>
  <c r="D200" i="1"/>
  <c r="E67" i="1"/>
  <c r="E96" i="1"/>
  <c r="D276" i="1"/>
  <c r="E151" i="1"/>
  <c r="E217" i="1"/>
  <c r="E312" i="1"/>
  <c r="D15" i="1"/>
  <c r="D31" i="1"/>
  <c r="D55" i="1"/>
  <c r="E86" i="1"/>
  <c r="D101" i="1"/>
  <c r="D166" i="1"/>
  <c r="E176" i="1"/>
  <c r="D186" i="1"/>
  <c r="D192" i="1"/>
  <c r="B245" i="1"/>
  <c r="D245" i="1" s="1"/>
  <c r="D258" i="1"/>
  <c r="D264" i="1"/>
  <c r="D274" i="1"/>
  <c r="C330" i="1"/>
  <c r="E18" i="1"/>
  <c r="D238" i="1"/>
  <c r="E11" i="1"/>
  <c r="D94" i="1"/>
  <c r="D133" i="1"/>
  <c r="D221" i="1"/>
  <c r="E238" i="1"/>
  <c r="D247" i="1"/>
  <c r="C289" i="1"/>
  <c r="E12" i="1"/>
  <c r="E15" i="1"/>
  <c r="D28" i="1"/>
  <c r="E41" i="1"/>
  <c r="D49" i="1"/>
  <c r="E58" i="1"/>
  <c r="D68" i="1"/>
  <c r="E84" i="1"/>
  <c r="E88" i="1"/>
  <c r="B97" i="1"/>
  <c r="D111" i="1"/>
  <c r="E210" i="1"/>
  <c r="E218" i="1"/>
  <c r="E239" i="1"/>
  <c r="E264" i="1"/>
  <c r="C277" i="1"/>
  <c r="C278" i="1" s="1"/>
  <c r="D319" i="1"/>
  <c r="D328" i="1"/>
  <c r="D336" i="1"/>
  <c r="D202" i="1"/>
  <c r="E154" i="1"/>
  <c r="E229" i="1"/>
  <c r="C266" i="1"/>
  <c r="D321" i="1"/>
  <c r="B39" i="1"/>
  <c r="D39" i="1" s="1"/>
  <c r="E81" i="1"/>
  <c r="D99" i="1"/>
  <c r="D146" i="1"/>
  <c r="D167" i="1"/>
  <c r="B184" i="1"/>
  <c r="D197" i="1"/>
  <c r="D216" i="1"/>
  <c r="D230" i="1"/>
  <c r="D242" i="1"/>
  <c r="D269" i="1"/>
  <c r="D288" i="1"/>
  <c r="B34" i="1"/>
  <c r="D34" i="1" s="1"/>
  <c r="E178" i="1"/>
  <c r="D80" i="1"/>
  <c r="D158" i="1"/>
  <c r="C184" i="1"/>
  <c r="E184" i="1" s="1"/>
  <c r="D226" i="1"/>
  <c r="D9" i="1"/>
  <c r="D17" i="1"/>
  <c r="D22" i="1"/>
  <c r="C39" i="1"/>
  <c r="D50" i="1"/>
  <c r="C54" i="1"/>
  <c r="C61" i="1" s="1"/>
  <c r="E66" i="1"/>
  <c r="D85" i="1"/>
  <c r="D95" i="1"/>
  <c r="B121" i="1"/>
  <c r="D131" i="1"/>
  <c r="D180" i="1"/>
  <c r="E299" i="1"/>
  <c r="D335" i="1"/>
  <c r="E27" i="1"/>
  <c r="E43" i="1"/>
  <c r="E168" i="1"/>
  <c r="D198" i="1"/>
  <c r="E10" i="1"/>
  <c r="E57" i="1"/>
  <c r="D79" i="1"/>
  <c r="C121" i="1"/>
  <c r="E121" i="1" s="1"/>
  <c r="D132" i="1"/>
  <c r="D144" i="1"/>
  <c r="D220" i="1"/>
  <c r="D243" i="1"/>
  <c r="B87" i="1"/>
  <c r="D77" i="1"/>
  <c r="D233" i="1"/>
  <c r="E77" i="1"/>
  <c r="D86" i="1"/>
  <c r="C125" i="1"/>
  <c r="E125" i="1" s="1"/>
  <c r="B134" i="1"/>
  <c r="B149" i="1"/>
  <c r="E268" i="1"/>
  <c r="B277" i="1"/>
  <c r="D268" i="1"/>
  <c r="B289" i="1"/>
  <c r="E321" i="1"/>
  <c r="B14" i="1"/>
  <c r="D14" i="1" s="1"/>
  <c r="D16" i="1"/>
  <c r="E36" i="1"/>
  <c r="E95" i="1"/>
  <c r="C103" i="1"/>
  <c r="D114" i="1"/>
  <c r="D123" i="1"/>
  <c r="E131" i="1"/>
  <c r="E146" i="1"/>
  <c r="E155" i="1"/>
  <c r="D155" i="1"/>
  <c r="E169" i="1"/>
  <c r="D176" i="1"/>
  <c r="E198" i="1"/>
  <c r="C212" i="1"/>
  <c r="E216" i="1"/>
  <c r="E261" i="1"/>
  <c r="D261" i="1"/>
  <c r="E281" i="1"/>
  <c r="D281" i="1"/>
  <c r="E335" i="1"/>
  <c r="C29" i="1"/>
  <c r="D81" i="1"/>
  <c r="E132" i="1"/>
  <c r="E153" i="1"/>
  <c r="D153" i="1"/>
  <c r="D190" i="1"/>
  <c r="D211" i="1"/>
  <c r="D229" i="1"/>
  <c r="D10" i="1"/>
  <c r="D12" i="1"/>
  <c r="D32" i="1"/>
  <c r="D43" i="1"/>
  <c r="E55" i="1"/>
  <c r="E79" i="1"/>
  <c r="D93" i="1"/>
  <c r="E105" i="1"/>
  <c r="D105" i="1"/>
  <c r="D118" i="1"/>
  <c r="C149" i="1"/>
  <c r="E158" i="1"/>
  <c r="E174" i="1"/>
  <c r="D174" i="1"/>
  <c r="E182" i="1"/>
  <c r="E188" i="1"/>
  <c r="C193" i="1"/>
  <c r="E193" i="1" s="1"/>
  <c r="B223" i="1"/>
  <c r="E227" i="1"/>
  <c r="E232" i="1"/>
  <c r="D232" i="1"/>
  <c r="E243" i="1"/>
  <c r="E272" i="1"/>
  <c r="D272" i="1"/>
  <c r="C310" i="1"/>
  <c r="E60" i="1"/>
  <c r="E167" i="1"/>
  <c r="C295" i="1"/>
  <c r="E294" i="1"/>
  <c r="D53" i="1"/>
  <c r="D66" i="1"/>
  <c r="B69" i="1"/>
  <c r="D76" i="1"/>
  <c r="E112" i="1"/>
  <c r="D115" i="1"/>
  <c r="E118" i="1"/>
  <c r="D124" i="1"/>
  <c r="D127" i="1"/>
  <c r="D139" i="1"/>
  <c r="E142" i="1"/>
  <c r="C161" i="1"/>
  <c r="E161" i="1" s="1"/>
  <c r="D156" i="1"/>
  <c r="E159" i="1"/>
  <c r="D159" i="1"/>
  <c r="E165" i="1"/>
  <c r="D208" i="1"/>
  <c r="C223" i="1"/>
  <c r="E223" i="1" s="1"/>
  <c r="C233" i="1"/>
  <c r="E233" i="1" s="1"/>
  <c r="E225" i="1"/>
  <c r="D265" i="1"/>
  <c r="E285" i="1"/>
  <c r="D285" i="1"/>
  <c r="D299" i="1"/>
  <c r="E328" i="1"/>
  <c r="E204" i="1"/>
  <c r="D204" i="1"/>
  <c r="C254" i="1"/>
  <c r="E34" i="1"/>
  <c r="E144" i="1"/>
  <c r="B161" i="1"/>
  <c r="D193" i="1"/>
  <c r="E220" i="1"/>
  <c r="E259" i="1"/>
  <c r="B266" i="1"/>
  <c r="D259" i="1"/>
  <c r="E287" i="1"/>
  <c r="B23" i="1"/>
  <c r="D41" i="1"/>
  <c r="B44" i="1"/>
  <c r="C69" i="1"/>
  <c r="E76" i="1"/>
  <c r="E82" i="1"/>
  <c r="B103" i="1"/>
  <c r="D110" i="1"/>
  <c r="B113" i="1"/>
  <c r="E124" i="1"/>
  <c r="E139" i="1"/>
  <c r="D148" i="1"/>
  <c r="B172" i="1"/>
  <c r="E180" i="1"/>
  <c r="E186" i="1"/>
  <c r="B205" i="1"/>
  <c r="D218" i="1"/>
  <c r="D225" i="1"/>
  <c r="E241" i="1"/>
  <c r="E270" i="1"/>
  <c r="D270" i="1"/>
  <c r="E292" i="1"/>
  <c r="B295" i="1"/>
  <c r="D292" i="1"/>
  <c r="C135" i="1"/>
  <c r="C23" i="1"/>
  <c r="C44" i="1"/>
  <c r="B54" i="1"/>
  <c r="B61" i="1" s="1"/>
  <c r="D67" i="1"/>
  <c r="C97" i="1"/>
  <c r="C113" i="1"/>
  <c r="E110" i="1"/>
  <c r="D116" i="1"/>
  <c r="B135" i="1"/>
  <c r="E140" i="1"/>
  <c r="D140" i="1"/>
  <c r="E157" i="1"/>
  <c r="D157" i="1"/>
  <c r="C172" i="1"/>
  <c r="E163" i="1"/>
  <c r="D178" i="1"/>
  <c r="E209" i="1"/>
  <c r="D209" i="1"/>
  <c r="D239" i="1"/>
  <c r="E283" i="1"/>
  <c r="D283" i="1"/>
  <c r="E326" i="1"/>
  <c r="D326" i="1"/>
  <c r="E6" i="17"/>
  <c r="D6" i="17"/>
  <c r="C21" i="16"/>
  <c r="B21" i="16"/>
  <c r="B8" i="14"/>
  <c r="C8" i="14"/>
  <c r="E8" i="14" s="1"/>
  <c r="D20" i="14"/>
  <c r="D11" i="14"/>
  <c r="E11" i="14"/>
  <c r="D18" i="14"/>
  <c r="D14" i="11"/>
  <c r="D15" i="11" s="1"/>
  <c r="D11" i="11"/>
  <c r="C14" i="11"/>
  <c r="D12" i="11"/>
  <c r="D4" i="11"/>
  <c r="D16" i="10"/>
  <c r="E8" i="10"/>
  <c r="D13" i="10"/>
  <c r="D4" i="10"/>
  <c r="D16" i="9"/>
  <c r="D15" i="9"/>
  <c r="D11" i="9"/>
  <c r="C16" i="9"/>
  <c r="E16" i="9" s="1"/>
  <c r="D14" i="9"/>
  <c r="B6" i="8"/>
  <c r="C6" i="8"/>
  <c r="E6" i="8" s="1"/>
  <c r="C30" i="8"/>
  <c r="B29" i="8"/>
  <c r="D29" i="8" s="1"/>
  <c r="C29" i="8"/>
  <c r="E29" i="8" s="1"/>
  <c r="D12" i="8"/>
  <c r="B21" i="8"/>
  <c r="D21" i="8" s="1"/>
  <c r="C21" i="8"/>
  <c r="E15" i="7"/>
  <c r="D7" i="7"/>
  <c r="E11" i="7"/>
  <c r="E13" i="7"/>
  <c r="E7" i="7"/>
  <c r="E12" i="7"/>
  <c r="D4" i="12"/>
  <c r="D5" i="12"/>
  <c r="C20" i="12"/>
  <c r="E20" i="12" s="1"/>
  <c r="E11" i="6"/>
  <c r="E8" i="6"/>
  <c r="D4" i="6"/>
  <c r="D11" i="5"/>
  <c r="C20" i="5"/>
  <c r="E20" i="5" s="1"/>
  <c r="D12" i="5"/>
  <c r="D14" i="5"/>
  <c r="D16" i="5"/>
  <c r="D18" i="5"/>
  <c r="D8" i="5"/>
  <c r="D5" i="5"/>
  <c r="E5" i="5"/>
  <c r="E8" i="4"/>
  <c r="E5" i="4"/>
  <c r="E21" i="4"/>
  <c r="E12" i="4"/>
  <c r="B21" i="4"/>
  <c r="D21" i="4" s="1"/>
  <c r="D5" i="3"/>
  <c r="C8" i="3"/>
  <c r="E8" i="3" s="1"/>
  <c r="D6" i="3"/>
  <c r="D15" i="3"/>
  <c r="D13" i="3"/>
  <c r="D17" i="3"/>
  <c r="D19" i="3"/>
  <c r="B21" i="3"/>
  <c r="C21" i="3"/>
  <c r="E21" i="3" s="1"/>
  <c r="D12" i="2"/>
  <c r="B21" i="2"/>
  <c r="D21" i="2" s="1"/>
  <c r="D13" i="2"/>
  <c r="D15" i="2"/>
  <c r="D17" i="2"/>
  <c r="D19" i="2"/>
  <c r="E8" i="2"/>
  <c r="D5" i="2"/>
  <c r="D7" i="2"/>
  <c r="E5" i="2"/>
  <c r="E19" i="16"/>
  <c r="D19" i="16"/>
  <c r="D21" i="16" s="1"/>
  <c r="E14" i="11" l="1"/>
  <c r="E15" i="11" s="1"/>
  <c r="E330" i="1"/>
  <c r="D289" i="1"/>
  <c r="D97" i="1"/>
  <c r="B254" i="1"/>
  <c r="E254" i="1" s="1"/>
  <c r="E277" i="1"/>
  <c r="E87" i="1"/>
  <c r="D172" i="1"/>
  <c r="D134" i="1"/>
  <c r="D253" i="1"/>
  <c r="E245" i="1"/>
  <c r="D129" i="1"/>
  <c r="E69" i="1"/>
  <c r="D121" i="1"/>
  <c r="E39" i="1"/>
  <c r="D44" i="1"/>
  <c r="E14" i="1"/>
  <c r="D184" i="1"/>
  <c r="D61" i="1"/>
  <c r="E135" i="1"/>
  <c r="D295" i="1"/>
  <c r="D254" i="1"/>
  <c r="E103" i="1"/>
  <c r="D277" i="1"/>
  <c r="B278" i="1"/>
  <c r="D278" i="1" s="1"/>
  <c r="D266" i="1"/>
  <c r="D135" i="1"/>
  <c r="E44" i="1"/>
  <c r="C45" i="1"/>
  <c r="E29" i="1"/>
  <c r="E212" i="1"/>
  <c r="D212" i="1"/>
  <c r="D87" i="1"/>
  <c r="E23" i="1"/>
  <c r="C70" i="1"/>
  <c r="D69" i="1"/>
  <c r="B70" i="1"/>
  <c r="C185" i="1"/>
  <c r="E149" i="1"/>
  <c r="B45" i="1"/>
  <c r="E172" i="1"/>
  <c r="D113" i="1"/>
  <c r="B122" i="1"/>
  <c r="D29" i="1"/>
  <c r="E97" i="1"/>
  <c r="B213" i="1"/>
  <c r="D205" i="1"/>
  <c r="D23" i="1"/>
  <c r="E278" i="1"/>
  <c r="E266" i="1"/>
  <c r="E205" i="1"/>
  <c r="D223" i="1"/>
  <c r="C122" i="1"/>
  <c r="E113" i="1"/>
  <c r="D161" i="1"/>
  <c r="B106" i="1"/>
  <c r="D103" i="1"/>
  <c r="B185" i="1"/>
  <c r="D149" i="1"/>
  <c r="C213" i="1"/>
  <c r="E61" i="1"/>
  <c r="C331" i="1"/>
  <c r="E331" i="1" s="1"/>
  <c r="E310" i="1"/>
  <c r="D125" i="1"/>
  <c r="D54" i="1"/>
  <c r="E54" i="1"/>
  <c r="E295" i="1"/>
  <c r="D310" i="1"/>
  <c r="C106" i="1"/>
  <c r="E134" i="1"/>
  <c r="E289" i="1"/>
  <c r="D8" i="14"/>
  <c r="D22" i="14" s="1"/>
  <c r="D6" i="8"/>
  <c r="E30" i="8"/>
  <c r="E21" i="8"/>
  <c r="B30" i="8"/>
  <c r="D30" i="8" s="1"/>
  <c r="D20" i="12"/>
  <c r="D20" i="5"/>
  <c r="D8" i="3"/>
  <c r="D21" i="3"/>
  <c r="D23" i="3" s="1"/>
  <c r="E21" i="2"/>
  <c r="C22" i="14"/>
  <c r="B22" i="14"/>
  <c r="B6" i="15"/>
  <c r="D6" i="15"/>
  <c r="C16" i="15"/>
  <c r="E16" i="15" s="1"/>
  <c r="E15" i="15"/>
  <c r="E14" i="15"/>
  <c r="E13" i="15"/>
  <c r="E12" i="15"/>
  <c r="E11" i="15"/>
  <c r="E10" i="15"/>
  <c r="E9" i="15"/>
  <c r="E8" i="15"/>
  <c r="C23" i="13"/>
  <c r="C21" i="13"/>
  <c r="E21" i="13" s="1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5" i="15"/>
  <c r="E4" i="15"/>
  <c r="B6" i="12"/>
  <c r="C6" i="12"/>
  <c r="D6" i="12"/>
  <c r="B6" i="13"/>
  <c r="E5" i="13"/>
  <c r="D6" i="13"/>
  <c r="E4" i="13"/>
  <c r="E17" i="9"/>
  <c r="D8" i="8"/>
  <c r="C8" i="8"/>
  <c r="B8" i="8"/>
  <c r="C17" i="7"/>
  <c r="D17" i="7"/>
  <c r="E17" i="7"/>
  <c r="B17" i="7"/>
  <c r="C13" i="6"/>
  <c r="D13" i="6"/>
  <c r="E13" i="6"/>
  <c r="C22" i="5"/>
  <c r="D22" i="5"/>
  <c r="E22" i="5"/>
  <c r="C23" i="4"/>
  <c r="D23" i="4"/>
  <c r="E23" i="4"/>
  <c r="C23" i="3"/>
  <c r="E23" i="3"/>
  <c r="B13" i="6"/>
  <c r="B22" i="5"/>
  <c r="B23" i="4"/>
  <c r="B23" i="3"/>
  <c r="E10" i="3"/>
  <c r="D10" i="3"/>
  <c r="E45" i="1" l="1"/>
  <c r="D122" i="1"/>
  <c r="E70" i="1"/>
  <c r="D70" i="1"/>
  <c r="D185" i="1"/>
  <c r="B71" i="1"/>
  <c r="C71" i="1"/>
  <c r="D106" i="1"/>
  <c r="B107" i="1"/>
  <c r="D45" i="1"/>
  <c r="D331" i="1"/>
  <c r="E122" i="1"/>
  <c r="B296" i="1"/>
  <c r="B332" i="1" s="1"/>
  <c r="D213" i="1"/>
  <c r="E106" i="1"/>
  <c r="C296" i="1"/>
  <c r="E296" i="1" s="1"/>
  <c r="E213" i="1"/>
  <c r="C107" i="1"/>
  <c r="E185" i="1"/>
  <c r="C18" i="15"/>
  <c r="B18" i="15"/>
  <c r="B16" i="15"/>
  <c r="D16" i="15" s="1"/>
  <c r="D18" i="15" s="1"/>
  <c r="B21" i="13"/>
  <c r="D21" i="13" s="1"/>
  <c r="D23" i="13" s="1"/>
  <c r="D107" i="1" l="1"/>
  <c r="B338" i="1"/>
  <c r="D71" i="1"/>
  <c r="B72" i="1"/>
  <c r="C72" i="1"/>
  <c r="E71" i="1"/>
  <c r="E107" i="1"/>
  <c r="D296" i="1"/>
  <c r="C332" i="1"/>
  <c r="E332" i="1" s="1"/>
  <c r="B23" i="13"/>
  <c r="B339" i="1" l="1"/>
  <c r="D72" i="1"/>
  <c r="E72" i="1"/>
  <c r="C338" i="1"/>
  <c r="E338" i="1" s="1"/>
  <c r="D332" i="1"/>
  <c r="C339" i="1" l="1"/>
  <c r="D339" i="1" s="1"/>
  <c r="D338" i="1"/>
  <c r="B340" i="1"/>
  <c r="C340" i="1" l="1"/>
  <c r="E340" i="1" s="1"/>
  <c r="E339" i="1"/>
  <c r="D340" i="1" l="1"/>
</calcChain>
</file>

<file path=xl/sharedStrings.xml><?xml version="1.0" encoding="utf-8"?>
<sst xmlns="http://schemas.openxmlformats.org/spreadsheetml/2006/main" count="748" uniqueCount="432">
  <si>
    <t>Indiana State Wrestling Assn Inc</t>
  </si>
  <si>
    <t xml:space="preserve">Budget vs. Actuals: ISWA Annual Budget - FY22 P&amp;L </t>
  </si>
  <si>
    <t>September 2022 - August 2023</t>
  </si>
  <si>
    <t>Total</t>
  </si>
  <si>
    <t>Actual</t>
  </si>
  <si>
    <t>Budget</t>
  </si>
  <si>
    <t>over Budget</t>
  </si>
  <si>
    <t>% of Budget</t>
  </si>
  <si>
    <t>Revenue</t>
  </si>
  <si>
    <t xml:space="preserve">   Income</t>
  </si>
  <si>
    <t xml:space="preserve">      3x Gear Income</t>
  </si>
  <si>
    <t xml:space="preserve">      Athlete Traditional Membership</t>
  </si>
  <si>
    <t xml:space="preserve">      Club Charters, Sanctions &amp; Insurance</t>
  </si>
  <si>
    <t xml:space="preserve">      Donations/Sponsors</t>
  </si>
  <si>
    <t xml:space="preserve">         Restricted Funds Donations</t>
  </si>
  <si>
    <t xml:space="preserve">      Total Donations/Sponsors</t>
  </si>
  <si>
    <t xml:space="preserve">      Equipment Sales</t>
  </si>
  <si>
    <t xml:space="preserve">      High Performance Leader-1 Year</t>
  </si>
  <si>
    <t xml:space="preserve">      Interest</t>
  </si>
  <si>
    <t xml:space="preserve">      SiteSearch</t>
  </si>
  <si>
    <t xml:space="preserve">      T Shirt Sponsorship</t>
  </si>
  <si>
    <t xml:space="preserve">      USAW Hard Card</t>
  </si>
  <si>
    <t xml:space="preserve">      Win Magazine Income</t>
  </si>
  <si>
    <t xml:space="preserve">      Wrestling Leader 1 Year Membership</t>
  </si>
  <si>
    <t xml:space="preserve">   Total Income</t>
  </si>
  <si>
    <t xml:space="preserve">   ISWA State Tournaments</t>
  </si>
  <si>
    <t xml:space="preserve">      Elementary Dual Team State</t>
  </si>
  <si>
    <t xml:space="preserve">         Elementary Dual Team State-Gate Fees</t>
  </si>
  <si>
    <t xml:space="preserve">         Elementary Dual Team State-Streaming Proceeds</t>
  </si>
  <si>
    <t xml:space="preserve">         Elementary Dual Team State-Team Fees</t>
  </si>
  <si>
    <t xml:space="preserve">      Total Elementary Dual Team State</t>
  </si>
  <si>
    <t xml:space="preserve">      Freestyle/Greco State</t>
  </si>
  <si>
    <t xml:space="preserve">         ISWA Freestyle Greco State Gate Fees</t>
  </si>
  <si>
    <t xml:space="preserve">         ISWA Freestyle Greco State Registration</t>
  </si>
  <si>
    <t xml:space="preserve">         ISWA Freestyle Greco Streaming Proceeds</t>
  </si>
  <si>
    <t xml:space="preserve">      Total Freestyle/Greco State</t>
  </si>
  <si>
    <t xml:space="preserve">      Kids/Older Kids Folkstyle State</t>
  </si>
  <si>
    <t xml:space="preserve">         ISWA Folkstyle State Gate Fees</t>
  </si>
  <si>
    <t xml:space="preserve">         ISWA Folkstyle State Registration</t>
  </si>
  <si>
    <t xml:space="preserve">         ISWA Folkstyle State-Streaming Proceeds</t>
  </si>
  <si>
    <t xml:space="preserve">      Total Kids/Older Kids Folkstyle State</t>
  </si>
  <si>
    <t xml:space="preserve">      Middle School Dual Team State</t>
  </si>
  <si>
    <t xml:space="preserve">         Middle School Dual Team State-Gate Fees</t>
  </si>
  <si>
    <t xml:space="preserve">         Middle School Dual Team State-Streaming Proceeds</t>
  </si>
  <si>
    <t xml:space="preserve">         Middle School Dual Team State-Team Fees</t>
  </si>
  <si>
    <t xml:space="preserve">      Total Middle School Dual Team State</t>
  </si>
  <si>
    <t xml:space="preserve">   Total ISWA State Tournaments</t>
  </si>
  <si>
    <t xml:space="preserve">   Team Indiana Income</t>
  </si>
  <si>
    <t xml:space="preserve">      14U Boys Dual Team Indiana Income</t>
  </si>
  <si>
    <t>*assume 2 teams of 18 @ $700 each</t>
  </si>
  <si>
    <t xml:space="preserve">      14U Girls Dual Team Indiana Income</t>
  </si>
  <si>
    <t xml:space="preserve">      Cadet Duals Income</t>
  </si>
  <si>
    <t>*assume 18 wrestlers</t>
  </si>
  <si>
    <t xml:space="preserve">      Cadet Nationals Income (Fargo)-Men</t>
  </si>
  <si>
    <t xml:space="preserve">      Cultural Exchange Income</t>
  </si>
  <si>
    <t xml:space="preserve">      Heartland Elem/MS Duals-Boys</t>
  </si>
  <si>
    <t xml:space="preserve">         Heartland Elem/MS Dual Wrestle Off Fee</t>
  </si>
  <si>
    <t xml:space="preserve">      Total Heartland Elem/MS Duals-Boys</t>
  </si>
  <si>
    <t xml:space="preserve">      Heartland Elem/MS Duals-Girls</t>
  </si>
  <si>
    <t xml:space="preserve">      Junior Duals Income-Men</t>
  </si>
  <si>
    <t xml:space="preserve">      Junior Duals Income-Women</t>
  </si>
  <si>
    <t xml:space="preserve">      Kids FS/Greco Nationals Trip</t>
  </si>
  <si>
    <t>*assume 20 wrestlers@ $1500 ea</t>
  </si>
  <si>
    <t xml:space="preserve">      Women's Folkstyle Nationals</t>
  </si>
  <si>
    <t xml:space="preserve">      Womens Nationals (Fargo)</t>
  </si>
  <si>
    <t xml:space="preserve">   Total Team Indiana Income</t>
  </si>
  <si>
    <t xml:space="preserve">   USAW Hosted Tournaments</t>
  </si>
  <si>
    <t xml:space="preserve">      14U Duals Gate Proceeds</t>
  </si>
  <si>
    <t xml:space="preserve">      14U Duals Team Entry Income</t>
  </si>
  <si>
    <t xml:space="preserve">      Central Regionals Income</t>
  </si>
  <si>
    <t xml:space="preserve">         Central Regionals Athlete Registration</t>
  </si>
  <si>
    <t xml:space="preserve">         Central Regionals Coaches Bands</t>
  </si>
  <si>
    <t xml:space="preserve">         Central Regionals Gate Proceeds</t>
  </si>
  <si>
    <t xml:space="preserve">      Total Central Regionals Income</t>
  </si>
  <si>
    <t xml:space="preserve">   Total USAW Hosted Tournaments</t>
  </si>
  <si>
    <t>Total Revenue</t>
  </si>
  <si>
    <t>Gross Profit</t>
  </si>
  <si>
    <t>Expenditures</t>
  </si>
  <si>
    <t xml:space="preserve">   Administration</t>
  </si>
  <si>
    <t xml:space="preserve">      Accounting</t>
  </si>
  <si>
    <t xml:space="preserve">         Accounting Fees</t>
  </si>
  <si>
    <t xml:space="preserve">      Total Accounting</t>
  </si>
  <si>
    <t xml:space="preserve">      Bank Fees</t>
  </si>
  <si>
    <t xml:space="preserve">      Board Members-Background Checks/Memberships</t>
  </si>
  <si>
    <t xml:space="preserve">      Insurance</t>
  </si>
  <si>
    <t xml:space="preserve">      Payroll Expenditures</t>
  </si>
  <si>
    <t>*QB Increase</t>
  </si>
  <si>
    <t xml:space="preserve">      Postage</t>
  </si>
  <si>
    <t xml:space="preserve">      Publication</t>
  </si>
  <si>
    <t xml:space="preserve">         Bulk Rate Postage</t>
  </si>
  <si>
    <t xml:space="preserve">         Printing and Reproduction</t>
  </si>
  <si>
    <t xml:space="preserve">      Total Publication</t>
  </si>
  <si>
    <t xml:space="preserve">   Total Administration</t>
  </si>
  <si>
    <t xml:space="preserve">   Charitable Contributions</t>
  </si>
  <si>
    <t xml:space="preserve">   IHSWCA Banquet</t>
  </si>
  <si>
    <t xml:space="preserve">   Mat Officials</t>
  </si>
  <si>
    <t xml:space="preserve">      Folkstyle</t>
  </si>
  <si>
    <t xml:space="preserve">         Equipment &amp; Gear</t>
  </si>
  <si>
    <t xml:space="preserve">         Event Link</t>
  </si>
  <si>
    <t xml:space="preserve">         License &amp; Background Check</t>
  </si>
  <si>
    <t xml:space="preserve">         Nationals Hotel Expenses</t>
  </si>
  <si>
    <t xml:space="preserve">         Nationals Per Diem</t>
  </si>
  <si>
    <t xml:space="preserve">      Total Folkstyle</t>
  </si>
  <si>
    <t xml:space="preserve">      Freestyle/Greco</t>
  </si>
  <si>
    <t xml:space="preserve">         Equipment/Gear</t>
  </si>
  <si>
    <t xml:space="preserve">         License</t>
  </si>
  <si>
    <t xml:space="preserve">            USAW License</t>
  </si>
  <si>
    <t xml:space="preserve">            UWW License</t>
  </si>
  <si>
    <t xml:space="preserve">         Total License</t>
  </si>
  <si>
    <t xml:space="preserve">         Nationals Per Diem-FS/Greco</t>
  </si>
  <si>
    <t xml:space="preserve">         Youth Nationals Per Diem FS/Greco</t>
  </si>
  <si>
    <t xml:space="preserve">      Total Freestyle/Greco</t>
  </si>
  <si>
    <t xml:space="preserve">   Total Mat Officials</t>
  </si>
  <si>
    <t xml:space="preserve">   Meetings</t>
  </si>
  <si>
    <t xml:space="preserve">      Annual Meeting</t>
  </si>
  <si>
    <t xml:space="preserve">         Annual Awards</t>
  </si>
  <si>
    <t xml:space="preserve">         Annual Meeting Supplies</t>
  </si>
  <si>
    <t xml:space="preserve">         Annual Meeting-Hospitality</t>
  </si>
  <si>
    <t>*Adding triple/double crown</t>
  </si>
  <si>
    <t xml:space="preserve">      Total Annual Meeting</t>
  </si>
  <si>
    <t xml:space="preserve">      Budget Meeting</t>
  </si>
  <si>
    <t xml:space="preserve">      Meeting Mileage Reimbursement</t>
  </si>
  <si>
    <t xml:space="preserve">      Monthly Board Meeting Expenses</t>
  </si>
  <si>
    <t xml:space="preserve">      State Summit Meeting</t>
  </si>
  <si>
    <t xml:space="preserve">         State Summit Meeting Hotels</t>
  </si>
  <si>
    <t xml:space="preserve">         State Summit Travel</t>
  </si>
  <si>
    <t xml:space="preserve">         State Summit Travel Meals</t>
  </si>
  <si>
    <t xml:space="preserve">      Total State Summit Meeting</t>
  </si>
  <si>
    <t xml:space="preserve">   Total Meetings</t>
  </si>
  <si>
    <t xml:space="preserve">   Office Supplies &amp; Software</t>
  </si>
  <si>
    <t xml:space="preserve">      IT Equipment</t>
  </si>
  <si>
    <t xml:space="preserve">   Total Office Supplies &amp; Software</t>
  </si>
  <si>
    <t xml:space="preserve">   Pairing Officials</t>
  </si>
  <si>
    <t xml:space="preserve">      Pairing Officials Gear</t>
  </si>
  <si>
    <t xml:space="preserve">      Training</t>
  </si>
  <si>
    <t xml:space="preserve">   Total Pairing Officials</t>
  </si>
  <si>
    <t xml:space="preserve">   Payroll Expenses</t>
  </si>
  <si>
    <t xml:space="preserve">      Taxes</t>
  </si>
  <si>
    <t xml:space="preserve">      Wages</t>
  </si>
  <si>
    <t>*5% increase</t>
  </si>
  <si>
    <t xml:space="preserve">         JD Minch Mileage Reimbursement</t>
  </si>
  <si>
    <t xml:space="preserve">      Total Wages</t>
  </si>
  <si>
    <t xml:space="preserve">   Total Payroll Expenses</t>
  </si>
  <si>
    <t xml:space="preserve">   Programs</t>
  </si>
  <si>
    <t xml:space="preserve">      ISWA Tournaments</t>
  </si>
  <si>
    <t xml:space="preserve">         ISWA Elementary Dual Team State</t>
  </si>
  <si>
    <t xml:space="preserve">            Awards-ISWA Elementary Dual Team State</t>
  </si>
  <si>
    <t xml:space="preserve">            Facility Charge-ISWA Elementary Dual Team State</t>
  </si>
  <si>
    <t xml:space="preserve">            Hospitality-ISWA Elementary Dual Team State</t>
  </si>
  <si>
    <t xml:space="preserve">            Hotels-ISWA Elementary Dual Team State</t>
  </si>
  <si>
    <t xml:space="preserve">            Mat Officials-ISWA Elementary Dual Team State</t>
  </si>
  <si>
    <t xml:space="preserve">            Mats-ISWA Elementary Dual Team State</t>
  </si>
  <si>
    <t xml:space="preserve">            Security-ISWA Elementary Dual Team State</t>
  </si>
  <si>
    <t xml:space="preserve">            Supplies-Elem Team State</t>
  </si>
  <si>
    <t xml:space="preserve">            Trainers-ISWA Elementary Dual Team State</t>
  </si>
  <si>
    <t xml:space="preserve">            Wrestler Payout-ISWA Elementary Dual Team State</t>
  </si>
  <si>
    <t xml:space="preserve">         Total ISWA Elementary Dual Team State</t>
  </si>
  <si>
    <t xml:space="preserve">         ISWA Folkstyle State</t>
  </si>
  <si>
    <t xml:space="preserve">            Awards-ISWA Folkstyle State</t>
  </si>
  <si>
    <t xml:space="preserve">            Facility Charge-ISWA Folkstyle State</t>
  </si>
  <si>
    <t xml:space="preserve">            Hospitality-ISWA Folkstyle State</t>
  </si>
  <si>
    <t xml:space="preserve">            Hotels-ISWA Folkstyle State</t>
  </si>
  <si>
    <t xml:space="preserve">            Mat Officials-ISWA Folkstyle State</t>
  </si>
  <si>
    <t xml:space="preserve">            Mats-ISWA Folkstyle State</t>
  </si>
  <si>
    <t xml:space="preserve">            Security-ISWA Folkstyle State</t>
  </si>
  <si>
    <t xml:space="preserve">            Supplies-ISWA Folkstyle State</t>
  </si>
  <si>
    <t xml:space="preserve">            Trainers-ISWA Folkstyle State</t>
  </si>
  <si>
    <t xml:space="preserve">            Wrestler Payout-ISWA Folkstyle State</t>
  </si>
  <si>
    <t xml:space="preserve">         Total ISWA Folkstyle State</t>
  </si>
  <si>
    <t xml:space="preserve">         ISWA Freestyle/Greco</t>
  </si>
  <si>
    <t xml:space="preserve">            Awards-ISWA Freestyle/Greco State</t>
  </si>
  <si>
    <t xml:space="preserve">            Hospitality-ISWA Freestyle/Greco State</t>
  </si>
  <si>
    <t xml:space="preserve">            Hotels-ISWA Freestyle/Greco State</t>
  </si>
  <si>
    <t xml:space="preserve">            Mat Fee-ISWA Freestyle/Greco State</t>
  </si>
  <si>
    <t xml:space="preserve">            Mat Officials-ISWA Freestyle/Greco State</t>
  </si>
  <si>
    <t xml:space="preserve">            Security-ISWA Freestyle/Greco State</t>
  </si>
  <si>
    <t xml:space="preserve">            Supplies-ISWA Freestyle/Greco State</t>
  </si>
  <si>
    <t xml:space="preserve">            Trainers-ISWA Freestyle/Greco State</t>
  </si>
  <si>
    <t xml:space="preserve">            Wrestler Payout-ISWA Freestyle/Greco State</t>
  </si>
  <si>
    <t xml:space="preserve">         Total ISWA Freestyle/Greco</t>
  </si>
  <si>
    <t xml:space="preserve">         Middle School Dual Team State</t>
  </si>
  <si>
    <t xml:space="preserve">            Awards- Middle School Dual Team State</t>
  </si>
  <si>
    <t xml:space="preserve">            Facility Charge-Middle School Dual Team State</t>
  </si>
  <si>
    <t xml:space="preserve">            Hospitality-Middle School Dual Team State</t>
  </si>
  <si>
    <t xml:space="preserve">            Hotels-Middle School Dual Team State</t>
  </si>
  <si>
    <t xml:space="preserve">            Mat Fee-Middle School Dual Team State</t>
  </si>
  <si>
    <t xml:space="preserve">            Mat Officials-Middle School Dual Team State</t>
  </si>
  <si>
    <t xml:space="preserve">            Security-Middle School Dual Team State</t>
  </si>
  <si>
    <t xml:space="preserve">            Supplies-Middle School Dual Team State</t>
  </si>
  <si>
    <t xml:space="preserve">            Trainers-Middle School Dual Team State</t>
  </si>
  <si>
    <t xml:space="preserve">            Wrestler Payout-Middle School Dual Team State</t>
  </si>
  <si>
    <t xml:space="preserve">         Total Middle School Dual Team State</t>
  </si>
  <si>
    <t xml:space="preserve">      Total ISWA Tournaments</t>
  </si>
  <si>
    <t xml:space="preserve">      Scholarships</t>
  </si>
  <si>
    <t xml:space="preserve">      State Coach Director</t>
  </si>
  <si>
    <t xml:space="preserve">         Coach Development-Travel Expenses</t>
  </si>
  <si>
    <t xml:space="preserve">         Coach Development-USAW Training</t>
  </si>
  <si>
    <t xml:space="preserve">         ISWA Open Camps</t>
  </si>
  <si>
    <t xml:space="preserve">         Olympic Styles Director</t>
  </si>
  <si>
    <t xml:space="preserve">         RTC</t>
  </si>
  <si>
    <t xml:space="preserve">      Total State Coach Director</t>
  </si>
  <si>
    <t xml:space="preserve">      Team Indiana Expenses</t>
  </si>
  <si>
    <t xml:space="preserve">         14U National Dual Teams</t>
  </si>
  <si>
    <t xml:space="preserve">            14U Duals Boys</t>
  </si>
  <si>
    <t xml:space="preserve">               14U Duals Boys-Camp</t>
  </si>
  <si>
    <t xml:space="preserve">               14U Duals Boys-Gear</t>
  </si>
  <si>
    <t xml:space="preserve">           14U Duals Hotels</t>
  </si>
  <si>
    <t xml:space="preserve">            14U Duals Officials Expenses</t>
  </si>
  <si>
    <t xml:space="preserve">          14U Duals Registration</t>
  </si>
  <si>
    <t xml:space="preserve">            14U Duals Transportation</t>
  </si>
  <si>
    <t xml:space="preserve">            14U Duals-Coaches Per Diem</t>
  </si>
  <si>
    <t>5Coaches/5Days</t>
  </si>
  <si>
    <t xml:space="preserve">               14U Duals Boys-Other Expenses</t>
  </si>
  <si>
    <t xml:space="preserve">            Total 14U Duals Boys</t>
  </si>
  <si>
    <t xml:space="preserve">            14U Duals Girls</t>
  </si>
  <si>
    <t xml:space="preserve">               14U Duals Girls-Coaches Per Diem</t>
  </si>
  <si>
    <t xml:space="preserve">               14U Duals Girls-Gear</t>
  </si>
  <si>
    <t xml:space="preserve">               14U Duals Girls-Marketing</t>
  </si>
  <si>
    <t xml:space="preserve">               14U Duals Girls-Mat Officials</t>
  </si>
  <si>
    <t xml:space="preserve">               14U Duals Girls-Team Registration</t>
  </si>
  <si>
    <t xml:space="preserve">            Total 14U Duals Girls</t>
  </si>
  <si>
    <t xml:space="preserve">         Total 14U National Dual Teams</t>
  </si>
  <si>
    <t xml:space="preserve">         16U Dual Team Indiana</t>
  </si>
  <si>
    <t xml:space="preserve">            16U Duals Camp</t>
  </si>
  <si>
    <t xml:space="preserve">            16U Duals Gear</t>
  </si>
  <si>
    <t>*over ordered in 2022</t>
  </si>
  <si>
    <t xml:space="preserve">            16U Duals Hotels</t>
  </si>
  <si>
    <t xml:space="preserve">            16U Duals Officials Expenses</t>
  </si>
  <si>
    <t xml:space="preserve">            16U Duals Other Expenses</t>
  </si>
  <si>
    <t xml:space="preserve">            16U Duals Registration</t>
  </si>
  <si>
    <t xml:space="preserve">            16U Duals Transportation</t>
  </si>
  <si>
    <t xml:space="preserve">            16U Duals-Coaches Per Diem</t>
  </si>
  <si>
    <t xml:space="preserve">         Total 16U Dual Team Indiana</t>
  </si>
  <si>
    <t xml:space="preserve">         Cultural Exchange Trip</t>
  </si>
  <si>
    <t xml:space="preserve">            Cultural Exchange Host Gifts</t>
  </si>
  <si>
    <t xml:space="preserve">            Cultural Exchange-Activities</t>
  </si>
  <si>
    <t xml:space="preserve">            Cultural Exchange-Food</t>
  </si>
  <si>
    <t xml:space="preserve">            Cultural Exchange-Gear</t>
  </si>
  <si>
    <t xml:space="preserve">            Cultural Exchange-Hotel</t>
  </si>
  <si>
    <t xml:space="preserve">            Cultural Exchange-Misc Expenses</t>
  </si>
  <si>
    <t xml:space="preserve">            Cultural Exchange-Rental Car</t>
  </si>
  <si>
    <t xml:space="preserve">            Cultural Exchange-Travel</t>
  </si>
  <si>
    <t xml:space="preserve">         Total Cultural Exchange Trip</t>
  </si>
  <si>
    <t xml:space="preserve">         Heartland Elem/MS Duals</t>
  </si>
  <si>
    <t xml:space="preserve">            Heartland Duals Hospitality</t>
  </si>
  <si>
    <t xml:space="preserve">            Heartland Duals Wrestle Off Expenses</t>
  </si>
  <si>
    <t xml:space="preserve">            Heartland Elem/MS Duals-Boys</t>
  </si>
  <si>
    <t xml:space="preserve">               Heartland Duals Coaches Per Diem-Boys</t>
  </si>
  <si>
    <t xml:space="preserve">               Heartland Duals Expenses Officials-Boys</t>
  </si>
  <si>
    <t xml:space="preserve">               Heartland Duals Gear-Boys</t>
  </si>
  <si>
    <t xml:space="preserve">               Heartland Duals Lodging-Boys</t>
  </si>
  <si>
    <t xml:space="preserve">               Heartland Duals Marketing-Boys</t>
  </si>
  <si>
    <t xml:space="preserve">               Heartland Duals Team Registration Fee-Boys</t>
  </si>
  <si>
    <t xml:space="preserve">               Heartland Duals Transportation-Boys</t>
  </si>
  <si>
    <t xml:space="preserve">            Total Heartland Elem/MS Duals-Boys</t>
  </si>
  <si>
    <t xml:space="preserve">            Heartland Elem/MS Duals-Girls</t>
  </si>
  <si>
    <t xml:space="preserve">               Heartland Duals Coaches Per Diem-Girls</t>
  </si>
  <si>
    <t xml:space="preserve">               Heartland Duals Gear-Girls</t>
  </si>
  <si>
    <t xml:space="preserve">               Heartland Duals Lodging-Girls</t>
  </si>
  <si>
    <t xml:space="preserve">               Heartland Duals Marketing-Girls</t>
  </si>
  <si>
    <t xml:space="preserve">               Heartland Duals Team Registration Fee-Girls</t>
  </si>
  <si>
    <t xml:space="preserve">               Heartland Duals Transportation-Girls</t>
  </si>
  <si>
    <t xml:space="preserve">            Total Heartland Elem/MS Duals-Girls</t>
  </si>
  <si>
    <t xml:space="preserve">         Total Heartland Elem/MS Duals</t>
  </si>
  <si>
    <t xml:space="preserve">         Junior Duals</t>
  </si>
  <si>
    <t xml:space="preserve">            Junior Duals-Men</t>
  </si>
  <si>
    <t xml:space="preserve">               Junior Duals Men-Camp</t>
  </si>
  <si>
    <t xml:space="preserve">               Junior Duals Men-Coaches Per Diem</t>
  </si>
  <si>
    <t xml:space="preserve">               Junior Duals Men-Gear</t>
  </si>
  <si>
    <t xml:space="preserve">               Junior Duals Men-Hotels</t>
  </si>
  <si>
    <t xml:space="preserve">               Junior Duals Men-Marketing</t>
  </si>
  <si>
    <t xml:space="preserve">               Junior Duals Men-Officials Expenses</t>
  </si>
  <si>
    <t xml:space="preserve">               Junior Duals Men-Other Expenses</t>
  </si>
  <si>
    <t xml:space="preserve">               Junior Duals Men-Registration</t>
  </si>
  <si>
    <t xml:space="preserve">               Junior Duals Men-Transportation</t>
  </si>
  <si>
    <t xml:space="preserve">            Total Junior Duals-Men</t>
  </si>
  <si>
    <t xml:space="preserve">            Junior Duals-Women</t>
  </si>
  <si>
    <t xml:space="preserve">               Junior Duals Women-Camp</t>
  </si>
  <si>
    <t xml:space="preserve">               Junior Duals Women-Coaches Per Diem</t>
  </si>
  <si>
    <t xml:space="preserve">               Junior Duals Women-Gear</t>
  </si>
  <si>
    <t xml:space="preserve">               Junior Duals Women-Hotels</t>
  </si>
  <si>
    <t xml:space="preserve">               Junior Duals Women-Marketing</t>
  </si>
  <si>
    <t xml:space="preserve">               Junior Duals Women-Officials Expenses</t>
  </si>
  <si>
    <t xml:space="preserve">               Junior Duals Women-Other Expenses</t>
  </si>
  <si>
    <t xml:space="preserve">               Junior Duals Women-Registration</t>
  </si>
  <si>
    <t xml:space="preserve">               Junior Duals Women-Transportation</t>
  </si>
  <si>
    <t xml:space="preserve">            Total Junior Duals-Women</t>
  </si>
  <si>
    <t xml:space="preserve">         Total Junior Duals</t>
  </si>
  <si>
    <t xml:space="preserve">         Junior-Cadet Nationals (Fargo)-M/W</t>
  </si>
  <si>
    <t xml:space="preserve">            Junior-Cadet Nationals Camp</t>
  </si>
  <si>
    <t xml:space="preserve">            Junior-Cadet Nationals Extra Meals/Entertainment</t>
  </si>
  <si>
    <t xml:space="preserve">            Junior-Cadet Nationals Gear</t>
  </si>
  <si>
    <t xml:space="preserve">            Junior-Cadet Nationals Housing</t>
  </si>
  <si>
    <t xml:space="preserve">            Junior-Cadet Nationals Marketing(Photos and Recruiters Guide)</t>
  </si>
  <si>
    <t xml:space="preserve">            Junior-Cadet Nationals Officials</t>
  </si>
  <si>
    <t xml:space="preserve">            Junior-Cadet Nationals Other Supplies</t>
  </si>
  <si>
    <t xml:space="preserve">            Junior-Cadet Nationals Registration</t>
  </si>
  <si>
    <t xml:space="preserve">            Junior-Cadet Nationals Transportation</t>
  </si>
  <si>
    <t xml:space="preserve">         Total Junior-Cadet Nationals (Fargo)-M/W</t>
  </si>
  <si>
    <t xml:space="preserve">         UWW Cadet &amp; U23 Officials Expenses</t>
  </si>
  <si>
    <t xml:space="preserve">         Women's Nationals Team</t>
  </si>
  <si>
    <t xml:space="preserve">            Folkstyle Nationals-CO (Sponsored Girls Team)</t>
  </si>
  <si>
    <t xml:space="preserve">            Women's Folkstyle Nationals Camp</t>
  </si>
  <si>
    <t xml:space="preserve">            Womens Freestyle National Camp</t>
  </si>
  <si>
    <t xml:space="preserve">         Total Women's Nationals Team</t>
  </si>
  <si>
    <t xml:space="preserve">      Total Team Indiana Expenses</t>
  </si>
  <si>
    <t xml:space="preserve">      USA Tournament Expenses</t>
  </si>
  <si>
    <t xml:space="preserve">         14U National Duals</t>
  </si>
  <si>
    <t xml:space="preserve">            Awards-14U National Duals</t>
  </si>
  <si>
    <t xml:space="preserve">            Facility Charge-14U National Duals</t>
  </si>
  <si>
    <t xml:space="preserve">            Hospitality-14U National Duals</t>
  </si>
  <si>
    <t xml:space="preserve">            Hotels-14U National Duals</t>
  </si>
  <si>
    <t xml:space="preserve">            Mat Fee-14U National Duals</t>
  </si>
  <si>
    <t xml:space="preserve">            Mileage Reimbursement-14U National Duals</t>
  </si>
  <si>
    <t xml:space="preserve">            Security-14U National Duals</t>
  </si>
  <si>
    <t xml:space="preserve">            Supplies &amp; Materials-14U National Duals</t>
  </si>
  <si>
    <t xml:space="preserve">            Trainers-14U National Duals</t>
  </si>
  <si>
    <t xml:space="preserve">            USAW Payment-14U National Duals</t>
  </si>
  <si>
    <t xml:space="preserve">            Wrestler Payout-14U National Duals</t>
  </si>
  <si>
    <t xml:space="preserve">         Total 14U National Duals</t>
  </si>
  <si>
    <t xml:space="preserve">         Central Regionals</t>
  </si>
  <si>
    <t xml:space="preserve">            Central Regionals-Facility Charge</t>
  </si>
  <si>
    <t xml:space="preserve">            Central Regionals-Hospitality</t>
  </si>
  <si>
    <t xml:space="preserve">            Central Regionals-Hotels</t>
  </si>
  <si>
    <t xml:space="preserve">            Central Regionals-Mat Fees</t>
  </si>
  <si>
    <t xml:space="preserve">            Central Regionals-Security</t>
  </si>
  <si>
    <t xml:space="preserve">            Central Regionals-Stipend Payment</t>
  </si>
  <si>
    <t xml:space="preserve">            Central Regionals-Supplies</t>
  </si>
  <si>
    <t xml:space="preserve">            Central Regionals-Table Help</t>
  </si>
  <si>
    <t xml:space="preserve">            Central Regionals-Trainer</t>
  </si>
  <si>
    <t xml:space="preserve">         Total Central Regionals</t>
  </si>
  <si>
    <t xml:space="preserve">         Kids FS/Greco Nationals Trip</t>
  </si>
  <si>
    <t xml:space="preserve">            Kids FS/Greco Nat'l-Coaches Per Diem</t>
  </si>
  <si>
    <t xml:space="preserve">            Kids FS/Greco Nat'l-Food Expenses</t>
  </si>
  <si>
    <t xml:space="preserve">            Kids FS/Greco Nat'l-Gear</t>
  </si>
  <si>
    <t xml:space="preserve">            Kids FS/Greco Nat'l-Hotel</t>
  </si>
  <si>
    <t xml:space="preserve">            Kids FS/Greco Nat'l-Officials Expenses</t>
  </si>
  <si>
    <t xml:space="preserve">            Kids FS/Greco Nat'l-Other Expenses</t>
  </si>
  <si>
    <t xml:space="preserve">            Kids FS/Greco Nat'l-Transportation</t>
  </si>
  <si>
    <t xml:space="preserve">         Total Kids FS/Greco Nationals Trip</t>
  </si>
  <si>
    <t xml:space="preserve">      Total USA Tournament Expenses</t>
  </si>
  <si>
    <t xml:space="preserve">   Total Programs</t>
  </si>
  <si>
    <t xml:space="preserve">   Registration</t>
  </si>
  <si>
    <t xml:space="preserve">      Club Charters/Sanctions/Insurance</t>
  </si>
  <si>
    <t xml:space="preserve">   Total Registration</t>
  </si>
  <si>
    <t xml:space="preserve">   Rent &amp; Lease</t>
  </si>
  <si>
    <t xml:space="preserve">   Utilities</t>
  </si>
  <si>
    <t>Total Expenditures</t>
  </si>
  <si>
    <t>Net Operating Revenue</t>
  </si>
  <si>
    <t>Net Revenue</t>
  </si>
  <si>
    <t>Friday, Jul 29, 2022 01:11:34 PM GMT-7 - Accrual Basis</t>
  </si>
  <si>
    <t>2022-2023</t>
  </si>
  <si>
    <t>16U Duals</t>
  </si>
  <si>
    <t>Junior Duals</t>
  </si>
  <si>
    <t xml:space="preserve">Women's Jr Duals </t>
  </si>
  <si>
    <t>14U Duals-Girls (See Jr Duals)</t>
  </si>
  <si>
    <t>C/J - Men &amp; Wm Fargo</t>
  </si>
  <si>
    <t>Womens Fargo Cadet/Jrs.</t>
  </si>
  <si>
    <t>Heartland Elem/MS Duals</t>
  </si>
  <si>
    <t>Heartland Girls</t>
  </si>
  <si>
    <t>14U Duals-Boys</t>
  </si>
  <si>
    <t>Kids FS/Greco Nat'ls</t>
  </si>
  <si>
    <t>Number of wrestlers</t>
  </si>
  <si>
    <t>Wrestlers per room</t>
  </si>
  <si>
    <t># Coaches/Leaders</t>
  </si>
  <si>
    <t>Coaches per room</t>
  </si>
  <si>
    <t>Officials</t>
  </si>
  <si>
    <t>Officials Per Diem/Rooms/Mileage</t>
  </si>
  <si>
    <t>Number of Nights</t>
  </si>
  <si>
    <t>Number of Days</t>
  </si>
  <si>
    <t>Coaches Meals/Day</t>
  </si>
  <si>
    <t>Coaches Per Diem Total</t>
  </si>
  <si>
    <t>Total Athlete $?/Coach $? Gear</t>
  </si>
  <si>
    <t>Actual Final Gear Total (10% over 2022)</t>
  </si>
  <si>
    <t>Bus driver room cost(Include in transp)</t>
  </si>
  <si>
    <t>Wrestler/Coach room cost</t>
  </si>
  <si>
    <t>Athlete &amp; Coach Housing Total</t>
  </si>
  <si>
    <t>Registration costs</t>
  </si>
  <si>
    <t>Transportation</t>
  </si>
  <si>
    <t>Other Expenses</t>
  </si>
  <si>
    <t>Camp $???/athlete</t>
  </si>
  <si>
    <t>With Wm Jr Duals</t>
  </si>
  <si>
    <t>Extra Meals/Supplies/Entertainment</t>
  </si>
  <si>
    <t>Pictures (included in marketing)</t>
  </si>
  <si>
    <t>Total Trip Expense</t>
  </si>
  <si>
    <t>Projected Trip cost/Wrestler</t>
  </si>
  <si>
    <t xml:space="preserve">Trip Price Charged:  </t>
  </si>
  <si>
    <t>Net Result/Wrestler</t>
  </si>
  <si>
    <t>Overall Result/Trip</t>
  </si>
  <si>
    <t>14 Wrestlers $225-$475</t>
  </si>
  <si>
    <t>Income</t>
  </si>
  <si>
    <t>Expenses</t>
  </si>
  <si>
    <t>Net Result</t>
  </si>
  <si>
    <t>27 Teams @ $600 each</t>
  </si>
  <si>
    <t>16 Teams @ $450 each</t>
  </si>
  <si>
    <t>54 Athletes Appoximately $325 each ($150 gear credit for some)</t>
  </si>
  <si>
    <t>Total Income</t>
  </si>
  <si>
    <t>20 athletes $700 each (2 with gear credit)</t>
  </si>
  <si>
    <t>67 Boys @$300 each</t>
  </si>
  <si>
    <t>13 Girls @ $300 each</t>
  </si>
  <si>
    <t>18 @ $700 each</t>
  </si>
  <si>
    <t>15 Girls, 6 @ $700, 6 @ $550 &amp; 3 @ $300)</t>
  </si>
  <si>
    <t>14 Wrestlers Either $250 or $50</t>
  </si>
  <si>
    <t>104 Men 31 Women = 135 total</t>
  </si>
  <si>
    <t xml:space="preserve">            Junior-Cadet Nationals Officials Expenses &amp; Gear</t>
  </si>
  <si>
    <t xml:space="preserve">      16U Duals Gate Proceeds</t>
  </si>
  <si>
    <t xml:space="preserve">      16U Duals Team Entry</t>
  </si>
  <si>
    <t xml:space="preserve">         USAW 16U National Duals</t>
  </si>
  <si>
    <t xml:space="preserve">            USAW 16U-Awards</t>
  </si>
  <si>
    <t xml:space="preserve">            USAW 16U-Facility Fee</t>
  </si>
  <si>
    <t xml:space="preserve">            USAW 16U-Hospitality</t>
  </si>
  <si>
    <t xml:space="preserve">            USAW 16U-Hotels</t>
  </si>
  <si>
    <t xml:space="preserve">            USAW 16U-Mat Fee</t>
  </si>
  <si>
    <t xml:space="preserve">            USAW 16U-Mileage Reimbursement</t>
  </si>
  <si>
    <t xml:space="preserve">            USAW 16U-Security</t>
  </si>
  <si>
    <t xml:space="preserve">            USAW 16U-Supplies &amp; Materials</t>
  </si>
  <si>
    <t xml:space="preserve">            USAW 16U-Table Help</t>
  </si>
  <si>
    <t xml:space="preserve">            USAW 16U-Trainers</t>
  </si>
  <si>
    <t xml:space="preserve">            USAW 16U-USAW Payment</t>
  </si>
  <si>
    <t xml:space="preserve">            USAW 16U-Wrestler Payout</t>
  </si>
  <si>
    <t xml:space="preserve">         Total USAW 16U National Duals</t>
  </si>
  <si>
    <t xml:space="preserve">      USAW High School National Recruiting Showcase-Gate Fee</t>
  </si>
  <si>
    <t xml:space="preserve">      USAW High School National Recruiting Showcase-Registration</t>
  </si>
  <si>
    <t xml:space="preserve">         USAW High School National Recruiting Showcase</t>
  </si>
  <si>
    <t xml:space="preserve">            Facility Fee-USAW High School National Recruiting Showcase</t>
  </si>
  <si>
    <t xml:space="preserve">            Hospitality-USAW High School National Recruiting Showcase</t>
  </si>
  <si>
    <t xml:space="preserve">            Hotel-USAW High School National Recruiting Showcase</t>
  </si>
  <si>
    <t xml:space="preserve">            Mat officials-USAW High School National Recruiting Showcase</t>
  </si>
  <si>
    <t xml:space="preserve">            Security-USAW High School National Recruiting Showcase</t>
  </si>
  <si>
    <t xml:space="preserve">            Supplies-USAW High School National Recruiting Showcase</t>
  </si>
  <si>
    <t xml:space="preserve">            Trainers-USAW High School National Recruiting Showcase</t>
  </si>
  <si>
    <t xml:space="preserve">         Total USAW High School National Recruiting Showcase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</si>
</sst>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0\ _€"/>
    <numFmt numFmtId="165" formatCode="&quot;$&quot;* #,##0.00\ _€"/>
    <numFmt numFmtId="166" formatCode="0.00_)"/>
    <numFmt numFmtId="167" formatCode="0_)"/>
    <numFmt numFmtId="168" formatCode="&quot;$&quot;#,##0.00"/>
  </numFmts>
  <fonts count="18" x14ac:knownFonts="1">
    <font>
      <sz val="11"/>
      <color indexed="8"/>
      <name val="Calibri"/>
      <family val="2"/>
      <scheme val="minor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4"/>
      <color indexed="8"/>
      <name val="Arial"/>
    </font>
    <font>
      <b/>
      <sz val="9"/>
      <color indexed="8"/>
      <name val="Arial"/>
    </font>
    <font>
      <b/>
      <sz val="11"/>
      <color indexed="8"/>
      <name val="Calibri"/>
      <family val="2"/>
      <scheme val="minor"/>
    </font>
    <font>
      <b/>
      <sz val="8"/>
      <color indexed="8"/>
      <name val="Arial"/>
    </font>
    <font>
      <sz val="8"/>
      <color indexed="8"/>
      <name val="Arial"/>
    </font>
    <font>
      <b/>
      <sz val="12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7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0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0" fontId="2" fillId="0" borderId="2" xfId="0" applyNumberFormat="1" applyFont="1" applyBorder="1" applyAlignment="1">
      <alignment horizontal="right" wrapText="1"/>
    </xf>
    <xf numFmtId="0" fontId="5" fillId="0" borderId="0" xfId="0" applyFont="1"/>
    <xf numFmtId="0" fontId="1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44" fontId="0" fillId="0" borderId="0" xfId="0" applyNumberFormat="1"/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left" wrapText="1"/>
    </xf>
    <xf numFmtId="164" fontId="0" fillId="0" borderId="0" xfId="0" applyNumberFormat="1"/>
    <xf numFmtId="10" fontId="0" fillId="0" borderId="0" xfId="0" applyNumberFormat="1"/>
    <xf numFmtId="0" fontId="10" fillId="0" borderId="1" xfId="0" applyFont="1" applyBorder="1" applyAlignment="1">
      <alignment horizontal="center" wrapText="1"/>
    </xf>
    <xf numFmtId="0" fontId="12" fillId="0" borderId="0" xfId="0" applyFont="1" applyAlignment="1">
      <alignment horizontal="left" wrapText="1"/>
    </xf>
    <xf numFmtId="164" fontId="13" fillId="0" borderId="0" xfId="0" applyNumberFormat="1" applyFont="1" applyAlignment="1">
      <alignment wrapText="1"/>
    </xf>
    <xf numFmtId="164" fontId="13" fillId="0" borderId="0" xfId="0" applyNumberFormat="1" applyFont="1" applyAlignment="1">
      <alignment horizontal="right" wrapText="1"/>
    </xf>
    <xf numFmtId="10" fontId="13" fillId="0" borderId="0" xfId="0" applyNumberFormat="1" applyFont="1" applyAlignment="1">
      <alignment horizontal="right" wrapText="1"/>
    </xf>
    <xf numFmtId="165" fontId="12" fillId="0" borderId="2" xfId="0" applyNumberFormat="1" applyFont="1" applyBorder="1" applyAlignment="1">
      <alignment horizontal="right" wrapText="1"/>
    </xf>
    <xf numFmtId="10" fontId="12" fillId="0" borderId="2" xfId="0" applyNumberFormat="1" applyFont="1" applyBorder="1" applyAlignment="1">
      <alignment horizontal="right" wrapText="1"/>
    </xf>
    <xf numFmtId="44" fontId="11" fillId="0" borderId="0" xfId="1" applyFont="1"/>
    <xf numFmtId="44" fontId="0" fillId="0" borderId="0" xfId="1" applyFont="1"/>
    <xf numFmtId="0" fontId="11" fillId="0" borderId="0" xfId="1" applyNumberFormat="1" applyFont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166" fontId="15" fillId="0" borderId="3" xfId="0" applyNumberFormat="1" applyFont="1" applyBorder="1" applyAlignment="1">
      <alignment horizontal="center" wrapText="1"/>
    </xf>
    <xf numFmtId="166" fontId="15" fillId="0" borderId="3" xfId="0" applyNumberFormat="1" applyFont="1" applyBorder="1" applyAlignment="1">
      <alignment horizontal="center" vertical="center" wrapText="1"/>
    </xf>
    <xf numFmtId="166" fontId="16" fillId="0" borderId="3" xfId="0" applyNumberFormat="1" applyFont="1" applyBorder="1" applyAlignment="1" applyProtection="1">
      <alignment wrapText="1"/>
      <protection locked="0"/>
    </xf>
    <xf numFmtId="167" fontId="16" fillId="0" borderId="3" xfId="0" applyNumberFormat="1" applyFont="1" applyBorder="1" applyAlignment="1" applyProtection="1">
      <alignment horizontal="right" vertical="center"/>
      <protection locked="0"/>
    </xf>
    <xf numFmtId="44" fontId="16" fillId="0" borderId="3" xfId="1" applyFont="1" applyFill="1" applyBorder="1" applyAlignment="1" applyProtection="1">
      <alignment horizontal="right" vertical="center"/>
      <protection locked="0"/>
    </xf>
    <xf numFmtId="44" fontId="16" fillId="0" borderId="3" xfId="0" applyNumberFormat="1" applyFont="1" applyBorder="1" applyAlignment="1" applyProtection="1">
      <alignment horizontal="right" vertical="center"/>
      <protection locked="0"/>
    </xf>
    <xf numFmtId="4" fontId="16" fillId="0" borderId="3" xfId="0" applyNumberFormat="1" applyFont="1" applyBorder="1" applyAlignment="1" applyProtection="1">
      <alignment wrapText="1"/>
      <protection locked="0"/>
    </xf>
    <xf numFmtId="168" fontId="16" fillId="0" borderId="3" xfId="0" applyNumberFormat="1" applyFont="1" applyBorder="1" applyAlignment="1" applyProtection="1">
      <alignment horizontal="right" vertical="center"/>
      <protection locked="0"/>
    </xf>
    <xf numFmtId="4" fontId="16" fillId="0" borderId="3" xfId="0" applyNumberFormat="1" applyFont="1" applyBorder="1" applyAlignment="1" applyProtection="1">
      <alignment horizontal="right" vertical="center"/>
      <protection locked="0"/>
    </xf>
    <xf numFmtId="166" fontId="16" fillId="0" borderId="3" xfId="0" applyNumberFormat="1" applyFont="1" applyBorder="1" applyAlignment="1" applyProtection="1">
      <alignment horizontal="right" vertical="center"/>
      <protection locked="0"/>
    </xf>
    <xf numFmtId="8" fontId="16" fillId="0" borderId="3" xfId="1" applyNumberFormat="1" applyFont="1" applyFill="1" applyBorder="1" applyAlignment="1" applyProtection="1">
      <alignment horizontal="right" vertical="center"/>
      <protection locked="0"/>
    </xf>
    <xf numFmtId="7" fontId="16" fillId="0" borderId="3" xfId="0" applyNumberFormat="1" applyFont="1" applyBorder="1" applyAlignment="1" applyProtection="1">
      <alignment horizontal="right" vertical="center"/>
      <protection locked="0"/>
    </xf>
    <xf numFmtId="166" fontId="16" fillId="0" borderId="3" xfId="0" applyNumberFormat="1" applyFont="1" applyBorder="1" applyAlignment="1" applyProtection="1">
      <alignment horizontal="left" wrapText="1"/>
      <protection locked="0"/>
    </xf>
    <xf numFmtId="44" fontId="16" fillId="0" borderId="3" xfId="1" applyFont="1" applyFill="1" applyBorder="1" applyAlignment="1" applyProtection="1">
      <alignment horizontal="center" wrapText="1"/>
      <protection locked="0"/>
    </xf>
    <xf numFmtId="0" fontId="16" fillId="0" borderId="3" xfId="0" applyFont="1" applyBorder="1"/>
    <xf numFmtId="44" fontId="17" fillId="0" borderId="3" xfId="1" applyFont="1" applyFill="1" applyBorder="1"/>
    <xf numFmtId="0" fontId="10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/>
    </xf>
    <xf numFmtId="0" fontId="0" fillId="0" borderId="0" xfId="0" applyAlignment="1"/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4"/>
  <sheetViews>
    <sheetView tabSelected="1" zoomScale="120" zoomScaleNormal="120" workbookViewId="0">
      <selection activeCell="F132" sqref="F132"/>
    </sheetView>
  </sheetViews>
  <sheetFormatPr defaultRowHeight="15" x14ac:dyDescent="0.25"/>
  <cols>
    <col min="1" max="1" width="54.140625" customWidth="1"/>
    <col min="2" max="5" width="18" customWidth="1"/>
    <col min="6" max="6" width="13" style="27" bestFit="1" customWidth="1"/>
    <col min="7" max="7" width="12.5703125" bestFit="1" customWidth="1"/>
  </cols>
  <sheetData>
    <row r="1" spans="1:6" ht="18" x14ac:dyDescent="0.25">
      <c r="A1" s="48" t="s">
        <v>0</v>
      </c>
      <c r="B1" s="49"/>
      <c r="C1" s="49"/>
      <c r="D1" s="49"/>
      <c r="E1" s="49"/>
    </row>
    <row r="2" spans="1:6" ht="18" x14ac:dyDescent="0.25">
      <c r="A2" s="48" t="s">
        <v>1</v>
      </c>
      <c r="B2" s="49"/>
      <c r="C2" s="49"/>
      <c r="D2" s="49"/>
      <c r="E2" s="49"/>
    </row>
    <row r="3" spans="1:6" x14ac:dyDescent="0.25">
      <c r="A3" s="50" t="s">
        <v>2</v>
      </c>
      <c r="B3" s="49"/>
      <c r="C3" s="49"/>
      <c r="D3" s="49"/>
      <c r="E3" s="49"/>
    </row>
    <row r="5" spans="1:6" x14ac:dyDescent="0.25">
      <c r="A5" s="1"/>
      <c r="B5" s="46" t="s">
        <v>3</v>
      </c>
      <c r="C5" s="47"/>
      <c r="D5" s="47"/>
      <c r="E5" s="47"/>
    </row>
    <row r="6" spans="1:6" x14ac:dyDescent="0.25">
      <c r="A6" s="1"/>
      <c r="B6" s="19" t="s">
        <v>4</v>
      </c>
      <c r="C6" s="19" t="s">
        <v>5</v>
      </c>
      <c r="D6" s="19" t="s">
        <v>6</v>
      </c>
      <c r="E6" s="19" t="s">
        <v>7</v>
      </c>
      <c r="F6" s="28">
        <v>2023</v>
      </c>
    </row>
    <row r="7" spans="1:6" x14ac:dyDescent="0.25">
      <c r="A7" s="20" t="s">
        <v>8</v>
      </c>
      <c r="B7" s="21"/>
      <c r="C7" s="21"/>
      <c r="D7" s="21"/>
      <c r="E7" s="21"/>
    </row>
    <row r="8" spans="1:6" x14ac:dyDescent="0.25">
      <c r="A8" s="20" t="s">
        <v>9</v>
      </c>
      <c r="B8" s="21"/>
      <c r="C8" s="21"/>
      <c r="D8" s="22">
        <f t="shared" ref="D8:D71" si="0">(B8)-(C8)</f>
        <v>0</v>
      </c>
      <c r="E8" s="23" t="str">
        <f t="shared" ref="E8:E71" si="1">IF(C8=0,"",(B8)/(C8))</f>
        <v/>
      </c>
    </row>
    <row r="9" spans="1:6" x14ac:dyDescent="0.25">
      <c r="A9" s="20" t="s">
        <v>10</v>
      </c>
      <c r="B9" s="22">
        <f>15000</f>
        <v>15000</v>
      </c>
      <c r="C9" s="22">
        <f>15000</f>
        <v>15000</v>
      </c>
      <c r="D9" s="22">
        <f t="shared" si="0"/>
        <v>0</v>
      </c>
      <c r="E9" s="23">
        <f t="shared" si="1"/>
        <v>1</v>
      </c>
      <c r="F9" s="27">
        <v>15000</v>
      </c>
    </row>
    <row r="10" spans="1:6" x14ac:dyDescent="0.25">
      <c r="A10" s="20" t="s">
        <v>11</v>
      </c>
      <c r="B10" s="22">
        <f>85323</f>
        <v>85323</v>
      </c>
      <c r="C10" s="22">
        <f>115000</f>
        <v>115000</v>
      </c>
      <c r="D10" s="22">
        <f t="shared" si="0"/>
        <v>-29677</v>
      </c>
      <c r="E10" s="23">
        <f t="shared" si="1"/>
        <v>0.74193913043478266</v>
      </c>
      <c r="F10" s="27">
        <v>86000</v>
      </c>
    </row>
    <row r="11" spans="1:6" x14ac:dyDescent="0.25">
      <c r="A11" s="20" t="s">
        <v>12</v>
      </c>
      <c r="B11" s="22">
        <f>13105</f>
        <v>13105</v>
      </c>
      <c r="C11" s="22">
        <f>20000</f>
        <v>20000</v>
      </c>
      <c r="D11" s="22">
        <f t="shared" si="0"/>
        <v>-6895</v>
      </c>
      <c r="E11" s="23">
        <f t="shared" si="1"/>
        <v>0.65525</v>
      </c>
      <c r="F11" s="27">
        <v>13100</v>
      </c>
    </row>
    <row r="12" spans="1:6" x14ac:dyDescent="0.25">
      <c r="A12" s="20" t="s">
        <v>13</v>
      </c>
      <c r="B12" s="22">
        <f>238.35</f>
        <v>238.35</v>
      </c>
      <c r="C12" s="22">
        <f>10000</f>
        <v>10000</v>
      </c>
      <c r="D12" s="22">
        <f t="shared" si="0"/>
        <v>-9761.65</v>
      </c>
      <c r="E12" s="23">
        <f t="shared" si="1"/>
        <v>2.3834999999999999E-2</v>
      </c>
      <c r="F12" s="27">
        <v>200</v>
      </c>
    </row>
    <row r="13" spans="1:6" x14ac:dyDescent="0.25">
      <c r="A13" s="20" t="s">
        <v>14</v>
      </c>
      <c r="B13" s="21"/>
      <c r="C13" s="22">
        <f>1000</f>
        <v>1000</v>
      </c>
      <c r="D13" s="22">
        <f t="shared" si="0"/>
        <v>-1000</v>
      </c>
      <c r="E13" s="23">
        <f t="shared" si="1"/>
        <v>0</v>
      </c>
      <c r="F13" s="27">
        <v>1000</v>
      </c>
    </row>
    <row r="14" spans="1:6" x14ac:dyDescent="0.25">
      <c r="A14" s="20" t="s">
        <v>15</v>
      </c>
      <c r="B14" s="24">
        <f>(B12)+(B13)</f>
        <v>238.35</v>
      </c>
      <c r="C14" s="24">
        <f>(C12)+(C13)</f>
        <v>11000</v>
      </c>
      <c r="D14" s="24">
        <f t="shared" si="0"/>
        <v>-10761.65</v>
      </c>
      <c r="E14" s="25">
        <f t="shared" si="1"/>
        <v>2.1668181818181819E-2</v>
      </c>
    </row>
    <row r="15" spans="1:6" x14ac:dyDescent="0.25">
      <c r="A15" s="20" t="s">
        <v>16</v>
      </c>
      <c r="B15" s="22">
        <f>4540.41</f>
        <v>4540.41</v>
      </c>
      <c r="C15" s="22">
        <f>1000</f>
        <v>1000</v>
      </c>
      <c r="D15" s="22">
        <f t="shared" si="0"/>
        <v>3540.41</v>
      </c>
      <c r="E15" s="23">
        <f t="shared" si="1"/>
        <v>4.5404099999999996</v>
      </c>
      <c r="F15" s="27">
        <v>1000</v>
      </c>
    </row>
    <row r="16" spans="1:6" x14ac:dyDescent="0.25">
      <c r="A16" s="20" t="s">
        <v>17</v>
      </c>
      <c r="B16" s="21"/>
      <c r="C16" s="22">
        <f>800</f>
        <v>800</v>
      </c>
      <c r="D16" s="22">
        <f t="shared" si="0"/>
        <v>-800</v>
      </c>
      <c r="E16" s="23">
        <f t="shared" si="1"/>
        <v>0</v>
      </c>
    </row>
    <row r="17" spans="1:6" x14ac:dyDescent="0.25">
      <c r="A17" s="20" t="s">
        <v>18</v>
      </c>
      <c r="B17" s="22">
        <f>325.57</f>
        <v>325.57</v>
      </c>
      <c r="C17" s="22">
        <f>432</f>
        <v>432</v>
      </c>
      <c r="D17" s="22">
        <f t="shared" si="0"/>
        <v>-106.43</v>
      </c>
      <c r="E17" s="23">
        <f t="shared" si="1"/>
        <v>0.7536342592592592</v>
      </c>
      <c r="F17" s="27">
        <v>200</v>
      </c>
    </row>
    <row r="18" spans="1:6" x14ac:dyDescent="0.25">
      <c r="A18" s="20" t="s">
        <v>19</v>
      </c>
      <c r="B18" s="22">
        <f>2102</f>
        <v>2102</v>
      </c>
      <c r="C18" s="22">
        <f>3600</f>
        <v>3600</v>
      </c>
      <c r="D18" s="22">
        <f t="shared" si="0"/>
        <v>-1498</v>
      </c>
      <c r="E18" s="23">
        <f t="shared" si="1"/>
        <v>0.5838888888888889</v>
      </c>
      <c r="F18" s="27">
        <v>2000</v>
      </c>
    </row>
    <row r="19" spans="1:6" x14ac:dyDescent="0.25">
      <c r="A19" s="20" t="s">
        <v>20</v>
      </c>
      <c r="B19" s="22">
        <f>2712.24</f>
        <v>2712.24</v>
      </c>
      <c r="C19" s="21"/>
      <c r="D19" s="22">
        <f t="shared" si="0"/>
        <v>2712.24</v>
      </c>
      <c r="E19" s="23" t="str">
        <f t="shared" si="1"/>
        <v/>
      </c>
      <c r="F19" s="27">
        <v>2700</v>
      </c>
    </row>
    <row r="20" spans="1:6" x14ac:dyDescent="0.25">
      <c r="A20" s="20" t="s">
        <v>21</v>
      </c>
      <c r="B20" s="22">
        <f>3400</f>
        <v>3400</v>
      </c>
      <c r="C20" s="22">
        <f>2500</f>
        <v>2500</v>
      </c>
      <c r="D20" s="22">
        <f t="shared" si="0"/>
        <v>900</v>
      </c>
      <c r="E20" s="23">
        <f t="shared" si="1"/>
        <v>1.36</v>
      </c>
      <c r="F20" s="27">
        <v>3400</v>
      </c>
    </row>
    <row r="21" spans="1:6" x14ac:dyDescent="0.25">
      <c r="A21" s="20" t="s">
        <v>22</v>
      </c>
      <c r="B21" s="22">
        <f>145</f>
        <v>145</v>
      </c>
      <c r="C21" s="22">
        <f>150</f>
        <v>150</v>
      </c>
      <c r="D21" s="22">
        <f t="shared" si="0"/>
        <v>-5</v>
      </c>
      <c r="E21" s="23">
        <f t="shared" si="1"/>
        <v>0.96666666666666667</v>
      </c>
      <c r="F21" s="27">
        <v>145</v>
      </c>
    </row>
    <row r="22" spans="1:6" x14ac:dyDescent="0.25">
      <c r="A22" s="20" t="s">
        <v>23</v>
      </c>
      <c r="B22" s="22">
        <f>15795</f>
        <v>15795</v>
      </c>
      <c r="C22" s="22">
        <f>15000</f>
        <v>15000</v>
      </c>
      <c r="D22" s="22">
        <f t="shared" si="0"/>
        <v>795</v>
      </c>
      <c r="E22" s="23">
        <f t="shared" si="1"/>
        <v>1.0529999999999999</v>
      </c>
      <c r="F22" s="27">
        <v>15800</v>
      </c>
    </row>
    <row r="23" spans="1:6" x14ac:dyDescent="0.25">
      <c r="A23" s="20" t="s">
        <v>24</v>
      </c>
      <c r="B23" s="24">
        <f>((((((((((((B8)+(B9))+(B10))+(B11))+(B14))+(B15))+(B16))+(B17))+(B18))+(B19))+(B20))+(B21))+(B22)</f>
        <v>142686.57</v>
      </c>
      <c r="C23" s="24">
        <f>((((((((((((C8)+(C9))+(C10))+(C11))+(C14))+(C15))+(C16))+(C17))+(C18))+(C19))+(C20))+(C21))+(C22)</f>
        <v>184482</v>
      </c>
      <c r="D23" s="24">
        <f t="shared" si="0"/>
        <v>-41795.429999999993</v>
      </c>
      <c r="E23" s="25">
        <f t="shared" si="1"/>
        <v>0.77344440107978019</v>
      </c>
    </row>
    <row r="24" spans="1:6" x14ac:dyDescent="0.25">
      <c r="A24" s="20" t="s">
        <v>25</v>
      </c>
      <c r="B24" s="21"/>
      <c r="C24" s="21"/>
      <c r="D24" s="22">
        <f t="shared" si="0"/>
        <v>0</v>
      </c>
      <c r="E24" s="23" t="str">
        <f t="shared" si="1"/>
        <v/>
      </c>
    </row>
    <row r="25" spans="1:6" x14ac:dyDescent="0.25">
      <c r="A25" s="20" t="s">
        <v>26</v>
      </c>
      <c r="B25" s="21"/>
      <c r="C25" s="21"/>
      <c r="D25" s="22">
        <f t="shared" si="0"/>
        <v>0</v>
      </c>
      <c r="E25" s="23" t="str">
        <f t="shared" si="1"/>
        <v/>
      </c>
    </row>
    <row r="26" spans="1:6" x14ac:dyDescent="0.25">
      <c r="A26" s="20" t="s">
        <v>27</v>
      </c>
      <c r="B26" s="22">
        <f>12978</f>
        <v>12978</v>
      </c>
      <c r="C26" s="22">
        <f>5000</f>
        <v>5000</v>
      </c>
      <c r="D26" s="22">
        <f t="shared" si="0"/>
        <v>7978</v>
      </c>
      <c r="E26" s="23">
        <f t="shared" si="1"/>
        <v>2.5956000000000001</v>
      </c>
      <c r="F26" s="27">
        <v>13000</v>
      </c>
    </row>
    <row r="27" spans="1:6" x14ac:dyDescent="0.25">
      <c r="A27" s="20" t="s">
        <v>28</v>
      </c>
      <c r="B27" s="22">
        <f>770</f>
        <v>770</v>
      </c>
      <c r="C27" s="22">
        <f>200</f>
        <v>200</v>
      </c>
      <c r="D27" s="22">
        <f t="shared" si="0"/>
        <v>570</v>
      </c>
      <c r="E27" s="23">
        <f t="shared" si="1"/>
        <v>3.85</v>
      </c>
      <c r="F27" s="27">
        <v>750</v>
      </c>
    </row>
    <row r="28" spans="1:6" x14ac:dyDescent="0.25">
      <c r="A28" s="20" t="s">
        <v>29</v>
      </c>
      <c r="B28" s="22">
        <f>15684.2</f>
        <v>15684.2</v>
      </c>
      <c r="C28" s="22">
        <f>14400</f>
        <v>14400</v>
      </c>
      <c r="D28" s="22">
        <f t="shared" si="0"/>
        <v>1284.2000000000007</v>
      </c>
      <c r="E28" s="23">
        <f t="shared" si="1"/>
        <v>1.0891805555555556</v>
      </c>
      <c r="F28" s="27">
        <v>16000</v>
      </c>
    </row>
    <row r="29" spans="1:6" x14ac:dyDescent="0.25">
      <c r="A29" s="20" t="s">
        <v>30</v>
      </c>
      <c r="B29" s="24">
        <f>(((B25)+(B26))+(B27))+(B28)</f>
        <v>29432.2</v>
      </c>
      <c r="C29" s="24">
        <f>(((C25)+(C26))+(C27))+(C28)</f>
        <v>19600</v>
      </c>
      <c r="D29" s="24">
        <f t="shared" si="0"/>
        <v>9832.2000000000007</v>
      </c>
      <c r="E29" s="25">
        <f t="shared" si="1"/>
        <v>1.5016428571428573</v>
      </c>
    </row>
    <row r="30" spans="1:6" x14ac:dyDescent="0.25">
      <c r="A30" s="20" t="s">
        <v>31</v>
      </c>
      <c r="B30" s="21"/>
      <c r="C30" s="21"/>
      <c r="D30" s="22">
        <f t="shared" si="0"/>
        <v>0</v>
      </c>
      <c r="E30" s="23" t="str">
        <f t="shared" si="1"/>
        <v/>
      </c>
    </row>
    <row r="31" spans="1:6" x14ac:dyDescent="0.25">
      <c r="A31" s="20" t="s">
        <v>32</v>
      </c>
      <c r="B31" s="22">
        <f>25903.04</f>
        <v>25903.040000000001</v>
      </c>
      <c r="C31" s="22">
        <f>26000</f>
        <v>26000</v>
      </c>
      <c r="D31" s="22">
        <f t="shared" si="0"/>
        <v>-96.959999999999127</v>
      </c>
      <c r="E31" s="23">
        <f t="shared" si="1"/>
        <v>0.99627076923076929</v>
      </c>
      <c r="F31" s="27">
        <v>26000</v>
      </c>
    </row>
    <row r="32" spans="1:6" x14ac:dyDescent="0.25">
      <c r="A32" s="20" t="s">
        <v>33</v>
      </c>
      <c r="B32" s="22">
        <f>67290.91</f>
        <v>67290.91</v>
      </c>
      <c r="C32" s="22">
        <f>54250</f>
        <v>54250</v>
      </c>
      <c r="D32" s="22">
        <f t="shared" si="0"/>
        <v>13040.910000000003</v>
      </c>
      <c r="E32" s="23">
        <f t="shared" si="1"/>
        <v>1.2403854377880186</v>
      </c>
      <c r="F32" s="27">
        <v>68000</v>
      </c>
    </row>
    <row r="33" spans="1:7" x14ac:dyDescent="0.25">
      <c r="A33" s="20" t="s">
        <v>34</v>
      </c>
      <c r="B33" s="22">
        <f>942.65</f>
        <v>942.65</v>
      </c>
      <c r="C33" s="22">
        <f>200</f>
        <v>200</v>
      </c>
      <c r="D33" s="22">
        <f t="shared" si="0"/>
        <v>742.65</v>
      </c>
      <c r="E33" s="23">
        <f t="shared" si="1"/>
        <v>4.7132499999999995</v>
      </c>
      <c r="F33" s="27">
        <v>900</v>
      </c>
    </row>
    <row r="34" spans="1:7" x14ac:dyDescent="0.25">
      <c r="A34" s="20" t="s">
        <v>35</v>
      </c>
      <c r="B34" s="24">
        <f>(((B30)+(B31))+(B32))+(B33)</f>
        <v>94136.6</v>
      </c>
      <c r="C34" s="24">
        <f>(((C30)+(C31))+(C32))+(C33)</f>
        <v>80450</v>
      </c>
      <c r="D34" s="24">
        <f t="shared" si="0"/>
        <v>13686.600000000006</v>
      </c>
      <c r="E34" s="25">
        <f t="shared" si="1"/>
        <v>1.170125543816035</v>
      </c>
    </row>
    <row r="35" spans="1:7" x14ac:dyDescent="0.25">
      <c r="A35" s="20" t="s">
        <v>36</v>
      </c>
      <c r="B35" s="21"/>
      <c r="C35" s="21"/>
      <c r="D35" s="22">
        <f t="shared" si="0"/>
        <v>0</v>
      </c>
      <c r="E35" s="23" t="str">
        <f t="shared" si="1"/>
        <v/>
      </c>
    </row>
    <row r="36" spans="1:7" x14ac:dyDescent="0.25">
      <c r="A36" s="20" t="s">
        <v>37</v>
      </c>
      <c r="B36" s="22">
        <f>70508</f>
        <v>70508</v>
      </c>
      <c r="C36" s="22">
        <f>36000</f>
        <v>36000</v>
      </c>
      <c r="D36" s="22">
        <f t="shared" si="0"/>
        <v>34508</v>
      </c>
      <c r="E36" s="23">
        <f t="shared" si="1"/>
        <v>1.9585555555555556</v>
      </c>
      <c r="F36" s="27">
        <v>70000</v>
      </c>
    </row>
    <row r="37" spans="1:7" x14ac:dyDescent="0.25">
      <c r="A37" s="20" t="s">
        <v>38</v>
      </c>
      <c r="B37" s="22">
        <f>117685.44</f>
        <v>117685.44</v>
      </c>
      <c r="C37" s="22">
        <f>90000</f>
        <v>90000</v>
      </c>
      <c r="D37" s="22">
        <f t="shared" si="0"/>
        <v>27685.440000000002</v>
      </c>
      <c r="E37" s="23">
        <f t="shared" si="1"/>
        <v>1.3076160000000001</v>
      </c>
      <c r="F37" s="27">
        <v>118000</v>
      </c>
    </row>
    <row r="38" spans="1:7" x14ac:dyDescent="0.25">
      <c r="A38" s="20" t="s">
        <v>39</v>
      </c>
      <c r="B38" s="22">
        <f>4235</f>
        <v>4235</v>
      </c>
      <c r="C38" s="22">
        <f>2000</f>
        <v>2000</v>
      </c>
      <c r="D38" s="22">
        <f t="shared" si="0"/>
        <v>2235</v>
      </c>
      <c r="E38" s="23">
        <f t="shared" si="1"/>
        <v>2.1175000000000002</v>
      </c>
      <c r="F38" s="27">
        <v>4000</v>
      </c>
    </row>
    <row r="39" spans="1:7" x14ac:dyDescent="0.25">
      <c r="A39" s="20" t="s">
        <v>40</v>
      </c>
      <c r="B39" s="24">
        <f>(((B35)+(B36))+(B37))+(B38)</f>
        <v>192428.44</v>
      </c>
      <c r="C39" s="24">
        <f>(((C35)+(C36))+(C37))+(C38)</f>
        <v>128000</v>
      </c>
      <c r="D39" s="24">
        <f t="shared" si="0"/>
        <v>64428.44</v>
      </c>
      <c r="E39" s="25">
        <f t="shared" si="1"/>
        <v>1.5033471875</v>
      </c>
    </row>
    <row r="40" spans="1:7" x14ac:dyDescent="0.25">
      <c r="A40" s="20" t="s">
        <v>41</v>
      </c>
      <c r="B40" s="21"/>
      <c r="C40" s="21"/>
      <c r="D40" s="22">
        <f t="shared" si="0"/>
        <v>0</v>
      </c>
      <c r="E40" s="23" t="str">
        <f t="shared" si="1"/>
        <v/>
      </c>
    </row>
    <row r="41" spans="1:7" x14ac:dyDescent="0.25">
      <c r="A41" s="20" t="s">
        <v>42</v>
      </c>
      <c r="B41" s="22">
        <f>8518</f>
        <v>8518</v>
      </c>
      <c r="C41" s="22">
        <f>3500</f>
        <v>3500</v>
      </c>
      <c r="D41" s="22">
        <f t="shared" si="0"/>
        <v>5018</v>
      </c>
      <c r="E41" s="23">
        <f t="shared" si="1"/>
        <v>2.4337142857142857</v>
      </c>
      <c r="F41" s="27">
        <v>8500</v>
      </c>
    </row>
    <row r="42" spans="1:7" x14ac:dyDescent="0.25">
      <c r="A42" s="20" t="s">
        <v>43</v>
      </c>
      <c r="B42" s="22">
        <f>770</f>
        <v>770</v>
      </c>
      <c r="C42" s="22">
        <f>150</f>
        <v>150</v>
      </c>
      <c r="D42" s="22">
        <f t="shared" si="0"/>
        <v>620</v>
      </c>
      <c r="E42" s="23">
        <f t="shared" si="1"/>
        <v>5.1333333333333337</v>
      </c>
      <c r="F42" s="27">
        <v>750</v>
      </c>
    </row>
    <row r="43" spans="1:7" x14ac:dyDescent="0.25">
      <c r="A43" s="20" t="s">
        <v>44</v>
      </c>
      <c r="B43" s="22">
        <f>6950.08</f>
        <v>6950.08</v>
      </c>
      <c r="C43" s="22">
        <f>7200</f>
        <v>7200</v>
      </c>
      <c r="D43" s="22">
        <f t="shared" si="0"/>
        <v>-249.92000000000007</v>
      </c>
      <c r="E43" s="23">
        <f t="shared" si="1"/>
        <v>0.96528888888888886</v>
      </c>
      <c r="F43" s="27">
        <v>7000</v>
      </c>
    </row>
    <row r="44" spans="1:7" x14ac:dyDescent="0.25">
      <c r="A44" s="20" t="s">
        <v>45</v>
      </c>
      <c r="B44" s="24">
        <f>(((B40)+(B41))+(B42))+(B43)</f>
        <v>16238.08</v>
      </c>
      <c r="C44" s="24">
        <f>(((C40)+(C41))+(C42))+(C43)</f>
        <v>10850</v>
      </c>
      <c r="D44" s="24">
        <f t="shared" si="0"/>
        <v>5388.08</v>
      </c>
      <c r="E44" s="25">
        <f t="shared" si="1"/>
        <v>1.4965972350230414</v>
      </c>
    </row>
    <row r="45" spans="1:7" x14ac:dyDescent="0.25">
      <c r="A45" s="20" t="s">
        <v>46</v>
      </c>
      <c r="B45" s="24">
        <f>((((B24)+(B29))+(B34))+(B39))+(B44)</f>
        <v>332235.32</v>
      </c>
      <c r="C45" s="24">
        <f>((((C24)+(C29))+(C34))+(C39))+(C44)</f>
        <v>238900</v>
      </c>
      <c r="D45" s="24">
        <f t="shared" si="0"/>
        <v>93335.32</v>
      </c>
      <c r="E45" s="25">
        <f t="shared" si="1"/>
        <v>1.3906878191712013</v>
      </c>
    </row>
    <row r="46" spans="1:7" x14ac:dyDescent="0.25">
      <c r="A46" s="20" t="s">
        <v>47</v>
      </c>
      <c r="B46" s="21"/>
      <c r="C46" s="21"/>
      <c r="D46" s="22">
        <f t="shared" si="0"/>
        <v>0</v>
      </c>
      <c r="E46" s="23" t="str">
        <f t="shared" si="1"/>
        <v/>
      </c>
    </row>
    <row r="47" spans="1:7" x14ac:dyDescent="0.25">
      <c r="A47" s="20" t="s">
        <v>48</v>
      </c>
      <c r="B47" s="22">
        <f>15752.09</f>
        <v>15752.09</v>
      </c>
      <c r="C47" s="22">
        <f>17225</f>
        <v>17225</v>
      </c>
      <c r="D47" s="22">
        <f t="shared" si="0"/>
        <v>-1472.9099999999999</v>
      </c>
      <c r="E47" s="23">
        <f t="shared" si="1"/>
        <v>0.91448998548621196</v>
      </c>
      <c r="F47" s="27">
        <v>24000</v>
      </c>
      <c r="G47" t="s">
        <v>49</v>
      </c>
    </row>
    <row r="48" spans="1:7" x14ac:dyDescent="0.25">
      <c r="A48" s="20" t="s">
        <v>50</v>
      </c>
      <c r="B48" s="21"/>
      <c r="C48" s="22">
        <f>5200</f>
        <v>5200</v>
      </c>
      <c r="D48" s="22">
        <f t="shared" si="0"/>
        <v>-5200</v>
      </c>
      <c r="E48" s="23">
        <f t="shared" si="1"/>
        <v>0</v>
      </c>
      <c r="F48" s="27">
        <v>5200</v>
      </c>
    </row>
    <row r="49" spans="1:7" x14ac:dyDescent="0.25">
      <c r="A49" s="20" t="s">
        <v>51</v>
      </c>
      <c r="B49" s="22">
        <f>12774.74</f>
        <v>12774.74</v>
      </c>
      <c r="C49" s="22">
        <f>37800</f>
        <v>37800</v>
      </c>
      <c r="D49" s="22">
        <f t="shared" si="0"/>
        <v>-25025.260000000002</v>
      </c>
      <c r="E49" s="23">
        <f t="shared" si="1"/>
        <v>0.33795608465608468</v>
      </c>
      <c r="F49" s="27">
        <v>12750</v>
      </c>
      <c r="G49" t="s">
        <v>52</v>
      </c>
    </row>
    <row r="50" spans="1:7" x14ac:dyDescent="0.25">
      <c r="A50" s="20" t="s">
        <v>53</v>
      </c>
      <c r="B50" s="22">
        <f>115913.94</f>
        <v>115913.94</v>
      </c>
      <c r="C50" s="22">
        <f>120000</f>
        <v>120000</v>
      </c>
      <c r="D50" s="22">
        <f t="shared" si="0"/>
        <v>-4086.0599999999977</v>
      </c>
      <c r="E50" s="23">
        <f t="shared" si="1"/>
        <v>0.96594950000000002</v>
      </c>
      <c r="F50" s="27">
        <v>105850</v>
      </c>
    </row>
    <row r="51" spans="1:7" x14ac:dyDescent="0.25">
      <c r="A51" s="20" t="s">
        <v>54</v>
      </c>
      <c r="B51" s="22">
        <f>28504.27</f>
        <v>28504.27</v>
      </c>
      <c r="C51" s="22">
        <f>33000</f>
        <v>33000</v>
      </c>
      <c r="D51" s="22">
        <f t="shared" si="0"/>
        <v>-4495.7299999999996</v>
      </c>
      <c r="E51" s="23">
        <f t="shared" si="1"/>
        <v>0.86376575757575758</v>
      </c>
      <c r="F51" s="27">
        <v>60000</v>
      </c>
    </row>
    <row r="52" spans="1:7" x14ac:dyDescent="0.25">
      <c r="A52" s="20" t="s">
        <v>55</v>
      </c>
      <c r="B52" s="22">
        <f>19381.75</f>
        <v>19381.75</v>
      </c>
      <c r="C52" s="22">
        <f>20400</f>
        <v>20400</v>
      </c>
      <c r="D52" s="22">
        <f t="shared" si="0"/>
        <v>-1018.25</v>
      </c>
      <c r="E52" s="23">
        <f t="shared" si="1"/>
        <v>0.95008578431372548</v>
      </c>
      <c r="F52" s="27">
        <v>19400</v>
      </c>
    </row>
    <row r="53" spans="1:7" x14ac:dyDescent="0.25">
      <c r="A53" s="20" t="s">
        <v>56</v>
      </c>
      <c r="B53" s="22">
        <f>177</f>
        <v>177</v>
      </c>
      <c r="C53" s="22">
        <f>100</f>
        <v>100</v>
      </c>
      <c r="D53" s="22">
        <f t="shared" si="0"/>
        <v>77</v>
      </c>
      <c r="E53" s="23">
        <f t="shared" si="1"/>
        <v>1.77</v>
      </c>
      <c r="F53" s="27">
        <v>100</v>
      </c>
    </row>
    <row r="54" spans="1:7" x14ac:dyDescent="0.25">
      <c r="A54" s="20" t="s">
        <v>57</v>
      </c>
      <c r="B54" s="24">
        <f>(B52)+(B53)</f>
        <v>19558.75</v>
      </c>
      <c r="C54" s="24">
        <f>(C52)+(C53)</f>
        <v>20500</v>
      </c>
      <c r="D54" s="24">
        <f t="shared" si="0"/>
        <v>-941.25</v>
      </c>
      <c r="E54" s="25">
        <f t="shared" si="1"/>
        <v>0.95408536585365855</v>
      </c>
    </row>
    <row r="55" spans="1:7" x14ac:dyDescent="0.25">
      <c r="A55" s="20" t="s">
        <v>58</v>
      </c>
      <c r="B55" s="22">
        <f>3472</f>
        <v>3472</v>
      </c>
      <c r="C55" s="22">
        <f>5100</f>
        <v>5100</v>
      </c>
      <c r="D55" s="22">
        <f t="shared" si="0"/>
        <v>-1628</v>
      </c>
      <c r="E55" s="23">
        <f t="shared" si="1"/>
        <v>0.6807843137254902</v>
      </c>
      <c r="F55" s="27">
        <v>3472</v>
      </c>
    </row>
    <row r="56" spans="1:7" x14ac:dyDescent="0.25">
      <c r="A56" s="20" t="s">
        <v>59</v>
      </c>
      <c r="B56" s="22">
        <f>12196.25</f>
        <v>12196.25</v>
      </c>
      <c r="C56" s="22">
        <f>18200</f>
        <v>18200</v>
      </c>
      <c r="D56" s="22">
        <f t="shared" si="0"/>
        <v>-6003.75</v>
      </c>
      <c r="E56" s="23">
        <f t="shared" si="1"/>
        <v>0.67012362637362632</v>
      </c>
      <c r="F56" s="27">
        <v>12196</v>
      </c>
    </row>
    <row r="57" spans="1:7" x14ac:dyDescent="0.25">
      <c r="A57" s="20" t="s">
        <v>60</v>
      </c>
      <c r="B57" s="22">
        <f>8113.97</f>
        <v>8113.97</v>
      </c>
      <c r="C57" s="22">
        <f>11900</f>
        <v>11900</v>
      </c>
      <c r="D57" s="22">
        <f t="shared" si="0"/>
        <v>-3786.0299999999997</v>
      </c>
      <c r="E57" s="23">
        <f t="shared" si="1"/>
        <v>0.68184621848739502</v>
      </c>
      <c r="F57" s="27">
        <v>8114</v>
      </c>
    </row>
    <row r="58" spans="1:7" x14ac:dyDescent="0.25">
      <c r="A58" s="20" t="s">
        <v>61</v>
      </c>
      <c r="B58" s="22">
        <f>3187.02</f>
        <v>3187.02</v>
      </c>
      <c r="C58" s="22">
        <f>21088</f>
        <v>21088</v>
      </c>
      <c r="D58" s="22">
        <f t="shared" si="0"/>
        <v>-17900.98</v>
      </c>
      <c r="E58" s="23">
        <f t="shared" si="1"/>
        <v>0.15112955235204856</v>
      </c>
      <c r="F58" s="27">
        <v>30000</v>
      </c>
      <c r="G58" t="s">
        <v>62</v>
      </c>
    </row>
    <row r="59" spans="1:7" x14ac:dyDescent="0.25">
      <c r="A59" s="20" t="s">
        <v>63</v>
      </c>
      <c r="B59" s="22">
        <f>5307.25</f>
        <v>5307.25</v>
      </c>
      <c r="C59" s="21"/>
      <c r="D59" s="22">
        <f t="shared" si="0"/>
        <v>5307.25</v>
      </c>
      <c r="E59" s="23" t="str">
        <f t="shared" si="1"/>
        <v/>
      </c>
      <c r="F59" s="27">
        <v>5500</v>
      </c>
    </row>
    <row r="60" spans="1:7" x14ac:dyDescent="0.25">
      <c r="A60" s="20" t="s">
        <v>64</v>
      </c>
      <c r="B60" s="22">
        <f>31740.41</f>
        <v>31740.41</v>
      </c>
      <c r="C60" s="22">
        <f>24000</f>
        <v>24000</v>
      </c>
      <c r="D60" s="22">
        <f t="shared" si="0"/>
        <v>7740.41</v>
      </c>
      <c r="E60" s="23">
        <f t="shared" si="1"/>
        <v>1.3225170833333333</v>
      </c>
      <c r="F60" s="27">
        <v>28965</v>
      </c>
    </row>
    <row r="61" spans="1:7" x14ac:dyDescent="0.25">
      <c r="A61" s="20" t="s">
        <v>65</v>
      </c>
      <c r="B61" s="24">
        <f>((((((((((((B46)+(B47))+(B48))+(B49))+(B50))+(B51))+(B54))+(B55))+(B56))+(B57))+(B58))+(B59))+(B60)</f>
        <v>256520.69</v>
      </c>
      <c r="C61" s="24">
        <f>((((((((((((C46)+(C47))+(C48))+(C49))+(C50))+(C51))+(C54))+(C55))+(C56))+(C57))+(C58))+(C59))+(C60)</f>
        <v>314013</v>
      </c>
      <c r="D61" s="24">
        <f t="shared" si="0"/>
        <v>-57492.31</v>
      </c>
      <c r="E61" s="25">
        <f t="shared" si="1"/>
        <v>0.8169110514532838</v>
      </c>
    </row>
    <row r="62" spans="1:7" x14ac:dyDescent="0.25">
      <c r="A62" s="20" t="s">
        <v>66</v>
      </c>
      <c r="B62" s="21"/>
      <c r="C62" s="21"/>
      <c r="D62" s="22">
        <f t="shared" si="0"/>
        <v>0</v>
      </c>
      <c r="E62" s="23" t="str">
        <f t="shared" si="1"/>
        <v/>
      </c>
    </row>
    <row r="63" spans="1:7" x14ac:dyDescent="0.25">
      <c r="A63" s="20" t="s">
        <v>67</v>
      </c>
      <c r="B63" s="22">
        <f>28868.06</f>
        <v>28868.06</v>
      </c>
      <c r="C63" s="22">
        <f>24000</f>
        <v>24000</v>
      </c>
      <c r="D63" s="22">
        <f t="shared" si="0"/>
        <v>4868.0600000000013</v>
      </c>
      <c r="E63" s="23">
        <f t="shared" si="1"/>
        <v>1.2028358333333333</v>
      </c>
      <c r="F63" s="27">
        <v>0</v>
      </c>
    </row>
    <row r="64" spans="1:7" x14ac:dyDescent="0.25">
      <c r="A64" s="20" t="s">
        <v>68</v>
      </c>
      <c r="B64" s="22">
        <f>48443</f>
        <v>48443</v>
      </c>
      <c r="C64" s="22">
        <f>50000</f>
        <v>50000</v>
      </c>
      <c r="D64" s="22">
        <f t="shared" si="0"/>
        <v>-1557</v>
      </c>
      <c r="E64" s="23">
        <f t="shared" si="1"/>
        <v>0.96886000000000005</v>
      </c>
      <c r="F64" s="27">
        <v>0</v>
      </c>
    </row>
    <row r="65" spans="1:6" x14ac:dyDescent="0.25">
      <c r="A65" s="20" t="s">
        <v>69</v>
      </c>
      <c r="B65" s="21"/>
      <c r="C65" s="21"/>
      <c r="D65" s="22">
        <f t="shared" si="0"/>
        <v>0</v>
      </c>
      <c r="E65" s="23" t="str">
        <f t="shared" si="1"/>
        <v/>
      </c>
    </row>
    <row r="66" spans="1:6" x14ac:dyDescent="0.25">
      <c r="A66" s="20" t="s">
        <v>70</v>
      </c>
      <c r="B66" s="22">
        <f>64395</f>
        <v>64395</v>
      </c>
      <c r="C66" s="22">
        <f>30000</f>
        <v>30000</v>
      </c>
      <c r="D66" s="22">
        <f t="shared" si="0"/>
        <v>34395</v>
      </c>
      <c r="E66" s="23">
        <f t="shared" si="1"/>
        <v>2.1465000000000001</v>
      </c>
      <c r="F66" s="27">
        <v>64000</v>
      </c>
    </row>
    <row r="67" spans="1:6" x14ac:dyDescent="0.25">
      <c r="A67" s="20" t="s">
        <v>71</v>
      </c>
      <c r="B67" s="22">
        <f>3627</f>
        <v>3627</v>
      </c>
      <c r="C67" s="22">
        <f>500</f>
        <v>500</v>
      </c>
      <c r="D67" s="22">
        <f t="shared" si="0"/>
        <v>3127</v>
      </c>
      <c r="E67" s="23">
        <f t="shared" si="1"/>
        <v>7.2539999999999996</v>
      </c>
      <c r="F67" s="27">
        <v>0</v>
      </c>
    </row>
    <row r="68" spans="1:6" x14ac:dyDescent="0.25">
      <c r="A68" s="20" t="s">
        <v>72</v>
      </c>
      <c r="B68" s="22">
        <f>18065</f>
        <v>18065</v>
      </c>
      <c r="C68" s="22">
        <f>9500</f>
        <v>9500</v>
      </c>
      <c r="D68" s="22">
        <f t="shared" si="0"/>
        <v>8565</v>
      </c>
      <c r="E68" s="23">
        <f t="shared" si="1"/>
        <v>1.901578947368421</v>
      </c>
      <c r="F68" s="27">
        <v>18000</v>
      </c>
    </row>
    <row r="69" spans="1:6" x14ac:dyDescent="0.25">
      <c r="A69" s="20" t="s">
        <v>73</v>
      </c>
      <c r="B69" s="24">
        <f>(((B65)+(B66))+(B67))+(B68)</f>
        <v>86087</v>
      </c>
      <c r="C69" s="24">
        <f>(((C65)+(C66))+(C67))+(C68)</f>
        <v>40000</v>
      </c>
      <c r="D69" s="24">
        <f t="shared" si="0"/>
        <v>46087</v>
      </c>
      <c r="E69" s="25">
        <f t="shared" si="1"/>
        <v>2.1521750000000002</v>
      </c>
    </row>
    <row r="70" spans="1:6" x14ac:dyDescent="0.25">
      <c r="A70" s="20" t="s">
        <v>74</v>
      </c>
      <c r="B70" s="24">
        <f>(((B62)+(B63))+(B64))+(B69)</f>
        <v>163398.06</v>
      </c>
      <c r="C70" s="24">
        <f>(((C62)+(C63))+(C64))+(C69)</f>
        <v>114000</v>
      </c>
      <c r="D70" s="24">
        <f t="shared" si="0"/>
        <v>49398.06</v>
      </c>
      <c r="E70" s="25">
        <f t="shared" si="1"/>
        <v>1.4333163157894737</v>
      </c>
    </row>
    <row r="71" spans="1:6" x14ac:dyDescent="0.25">
      <c r="A71" s="20" t="s">
        <v>75</v>
      </c>
      <c r="B71" s="24">
        <f>(((B23)+(B45))+(B61))+(B70)</f>
        <v>894840.64000000013</v>
      </c>
      <c r="C71" s="24">
        <f>(((C23)+(C45))+(C61))+(C70)</f>
        <v>851395</v>
      </c>
      <c r="D71" s="24">
        <f t="shared" si="0"/>
        <v>43445.64000000013</v>
      </c>
      <c r="E71" s="25">
        <f t="shared" si="1"/>
        <v>1.0510287704297068</v>
      </c>
      <c r="F71" s="26">
        <f>SUM(F9:F70)</f>
        <v>870992</v>
      </c>
    </row>
    <row r="72" spans="1:6" x14ac:dyDescent="0.25">
      <c r="A72" s="20" t="s">
        <v>76</v>
      </c>
      <c r="B72" s="24">
        <f>(B71)-(0)</f>
        <v>894840.64000000013</v>
      </c>
      <c r="C72" s="24">
        <f>(C71)-(0)</f>
        <v>851395</v>
      </c>
      <c r="D72" s="24">
        <f t="shared" ref="D72" si="2">(B72)-(C72)</f>
        <v>43445.64000000013</v>
      </c>
      <c r="E72" s="25">
        <f t="shared" ref="E72" si="3">IF(C72=0,"",(B72)/(C72))</f>
        <v>1.0510287704297068</v>
      </c>
    </row>
    <row r="73" spans="1:6" x14ac:dyDescent="0.25">
      <c r="A73" s="20" t="s">
        <v>77</v>
      </c>
      <c r="B73" s="21"/>
      <c r="C73" s="21"/>
      <c r="D73" s="21"/>
      <c r="E73" s="21"/>
    </row>
    <row r="74" spans="1:6" x14ac:dyDescent="0.25">
      <c r="A74" s="20" t="s">
        <v>78</v>
      </c>
      <c r="B74" s="21"/>
      <c r="C74" s="21"/>
      <c r="D74" s="22">
        <f t="shared" ref="D74:D137" si="4">(B74)-(C74)</f>
        <v>0</v>
      </c>
      <c r="E74" s="23" t="str">
        <f t="shared" ref="E74:E137" si="5">IF(C74=0,"",(B74)/(C74))</f>
        <v/>
      </c>
    </row>
    <row r="75" spans="1:6" x14ac:dyDescent="0.25">
      <c r="A75" s="20" t="s">
        <v>79</v>
      </c>
      <c r="B75" s="21"/>
      <c r="C75" s="21"/>
      <c r="D75" s="22">
        <f t="shared" si="4"/>
        <v>0</v>
      </c>
      <c r="E75" s="23" t="str">
        <f t="shared" si="5"/>
        <v/>
      </c>
    </row>
    <row r="76" spans="1:6" x14ac:dyDescent="0.25">
      <c r="A76" s="20" t="s">
        <v>80</v>
      </c>
      <c r="B76" s="22">
        <f>6367.58</f>
        <v>6367.58</v>
      </c>
      <c r="C76" s="22">
        <f>9000</f>
        <v>9000</v>
      </c>
      <c r="D76" s="22">
        <f t="shared" si="4"/>
        <v>-2632.42</v>
      </c>
      <c r="E76" s="23">
        <f t="shared" si="5"/>
        <v>0.70750888888888885</v>
      </c>
      <c r="F76" s="27">
        <v>6500</v>
      </c>
    </row>
    <row r="77" spans="1:6" x14ac:dyDescent="0.25">
      <c r="A77" s="20" t="s">
        <v>81</v>
      </c>
      <c r="B77" s="24">
        <f>(B75)+(B76)</f>
        <v>6367.58</v>
      </c>
      <c r="C77" s="24">
        <f>(C75)+(C76)</f>
        <v>9000</v>
      </c>
      <c r="D77" s="24">
        <f t="shared" si="4"/>
        <v>-2632.42</v>
      </c>
      <c r="E77" s="25">
        <f t="shared" si="5"/>
        <v>0.70750888888888885</v>
      </c>
    </row>
    <row r="78" spans="1:6" x14ac:dyDescent="0.25">
      <c r="A78" s="20" t="s">
        <v>82</v>
      </c>
      <c r="B78" s="22">
        <f>475</f>
        <v>475</v>
      </c>
      <c r="C78" s="21"/>
      <c r="D78" s="22">
        <f t="shared" si="4"/>
        <v>475</v>
      </c>
      <c r="E78" s="23" t="str">
        <f t="shared" si="5"/>
        <v/>
      </c>
    </row>
    <row r="79" spans="1:6" x14ac:dyDescent="0.25">
      <c r="A79" s="20" t="s">
        <v>83</v>
      </c>
      <c r="B79" s="22">
        <f>1209</f>
        <v>1209</v>
      </c>
      <c r="C79" s="22">
        <f>1200</f>
        <v>1200</v>
      </c>
      <c r="D79" s="22">
        <f t="shared" si="4"/>
        <v>9</v>
      </c>
      <c r="E79" s="23">
        <f t="shared" si="5"/>
        <v>1.0075000000000001</v>
      </c>
      <c r="F79" s="27">
        <v>1200</v>
      </c>
    </row>
    <row r="80" spans="1:6" x14ac:dyDescent="0.25">
      <c r="A80" s="20" t="s">
        <v>84</v>
      </c>
      <c r="B80" s="22">
        <f>3825</f>
        <v>3825</v>
      </c>
      <c r="C80" s="22">
        <f>5000</f>
        <v>5000</v>
      </c>
      <c r="D80" s="22">
        <f t="shared" si="4"/>
        <v>-1175</v>
      </c>
      <c r="E80" s="23">
        <f t="shared" si="5"/>
        <v>0.76500000000000001</v>
      </c>
      <c r="F80" s="27">
        <v>5000</v>
      </c>
    </row>
    <row r="81" spans="1:7" x14ac:dyDescent="0.25">
      <c r="A81" s="20" t="s">
        <v>85</v>
      </c>
      <c r="B81" s="22">
        <f>2921</f>
        <v>2921</v>
      </c>
      <c r="C81" s="22">
        <f>1500</f>
        <v>1500</v>
      </c>
      <c r="D81" s="22">
        <f t="shared" si="4"/>
        <v>1421</v>
      </c>
      <c r="E81" s="23">
        <f t="shared" si="5"/>
        <v>1.9473333333333334</v>
      </c>
      <c r="F81" s="27">
        <v>3200</v>
      </c>
      <c r="G81" t="s">
        <v>86</v>
      </c>
    </row>
    <row r="82" spans="1:7" x14ac:dyDescent="0.25">
      <c r="A82" s="20" t="s">
        <v>87</v>
      </c>
      <c r="B82" s="22">
        <f>795.38</f>
        <v>795.38</v>
      </c>
      <c r="C82" s="22">
        <f>800</f>
        <v>800</v>
      </c>
      <c r="D82" s="22">
        <f t="shared" si="4"/>
        <v>-4.6200000000000045</v>
      </c>
      <c r="E82" s="23">
        <f t="shared" si="5"/>
        <v>0.99422500000000003</v>
      </c>
      <c r="F82" s="27">
        <v>1000</v>
      </c>
    </row>
    <row r="83" spans="1:7" x14ac:dyDescent="0.25">
      <c r="A83" s="20" t="s">
        <v>88</v>
      </c>
      <c r="B83" s="21"/>
      <c r="C83" s="21"/>
      <c r="D83" s="22">
        <f t="shared" si="4"/>
        <v>0</v>
      </c>
      <c r="E83" s="23" t="str">
        <f t="shared" si="5"/>
        <v/>
      </c>
    </row>
    <row r="84" spans="1:7" x14ac:dyDescent="0.25">
      <c r="A84" s="20" t="s">
        <v>89</v>
      </c>
      <c r="B84" s="22">
        <f>4794.96</f>
        <v>4794.96</v>
      </c>
      <c r="C84" s="22">
        <f>3200</f>
        <v>3200</v>
      </c>
      <c r="D84" s="22">
        <f t="shared" si="4"/>
        <v>1594.96</v>
      </c>
      <c r="E84" s="23">
        <f t="shared" si="5"/>
        <v>1.4984250000000001</v>
      </c>
      <c r="F84" s="27">
        <v>5000</v>
      </c>
    </row>
    <row r="85" spans="1:7" x14ac:dyDescent="0.25">
      <c r="A85" s="20" t="s">
        <v>90</v>
      </c>
      <c r="B85" s="22">
        <f>14730</f>
        <v>14730</v>
      </c>
      <c r="C85" s="22">
        <f>24000</f>
        <v>24000</v>
      </c>
      <c r="D85" s="22">
        <f t="shared" si="4"/>
        <v>-9270</v>
      </c>
      <c r="E85" s="23">
        <f t="shared" si="5"/>
        <v>0.61375000000000002</v>
      </c>
      <c r="F85" s="27">
        <v>17000</v>
      </c>
    </row>
    <row r="86" spans="1:7" x14ac:dyDescent="0.25">
      <c r="A86" s="20" t="s">
        <v>91</v>
      </c>
      <c r="B86" s="24">
        <f>((B83)+(B84))+(B85)</f>
        <v>19524.96</v>
      </c>
      <c r="C86" s="24">
        <f>((C83)+(C84))+(C85)</f>
        <v>27200</v>
      </c>
      <c r="D86" s="24">
        <f t="shared" si="4"/>
        <v>-7675.0400000000009</v>
      </c>
      <c r="E86" s="25">
        <f t="shared" si="5"/>
        <v>0.71782941176470583</v>
      </c>
    </row>
    <row r="87" spans="1:7" x14ac:dyDescent="0.25">
      <c r="A87" s="20" t="s">
        <v>92</v>
      </c>
      <c r="B87" s="24">
        <f>(((((((B74)+(B77))+(B78))+(B79))+(B80))+(B81))+(B82))+(B86)</f>
        <v>35117.919999999998</v>
      </c>
      <c r="C87" s="24">
        <f>(((((((C74)+(C77))+(C78))+(C79))+(C80))+(C81))+(C82))+(C86)</f>
        <v>44700</v>
      </c>
      <c r="D87" s="24">
        <f t="shared" si="4"/>
        <v>-9582.0800000000017</v>
      </c>
      <c r="E87" s="25">
        <f t="shared" si="5"/>
        <v>0.7856357941834452</v>
      </c>
    </row>
    <row r="88" spans="1:7" x14ac:dyDescent="0.25">
      <c r="A88" s="20" t="s">
        <v>93</v>
      </c>
      <c r="B88" s="22">
        <f>92.02</f>
        <v>92.02</v>
      </c>
      <c r="C88" s="22">
        <f>5000</f>
        <v>5000</v>
      </c>
      <c r="D88" s="22">
        <f t="shared" si="4"/>
        <v>-4907.9799999999996</v>
      </c>
      <c r="E88" s="23">
        <f t="shared" si="5"/>
        <v>1.8404E-2</v>
      </c>
      <c r="F88" s="27">
        <v>5000</v>
      </c>
    </row>
    <row r="89" spans="1:7" x14ac:dyDescent="0.25">
      <c r="A89" s="20" t="s">
        <v>94</v>
      </c>
      <c r="B89" s="22">
        <f>600</f>
        <v>600</v>
      </c>
      <c r="C89" s="22">
        <f>600</f>
        <v>600</v>
      </c>
      <c r="D89" s="22">
        <f t="shared" si="4"/>
        <v>0</v>
      </c>
      <c r="E89" s="23">
        <f t="shared" si="5"/>
        <v>1</v>
      </c>
      <c r="F89" s="27">
        <v>600</v>
      </c>
    </row>
    <row r="90" spans="1:7" x14ac:dyDescent="0.25">
      <c r="A90" s="20" t="s">
        <v>95</v>
      </c>
      <c r="B90" s="21"/>
      <c r="C90" s="21"/>
      <c r="D90" s="22">
        <f t="shared" si="4"/>
        <v>0</v>
      </c>
      <c r="E90" s="23" t="str">
        <f t="shared" si="5"/>
        <v/>
      </c>
    </row>
    <row r="91" spans="1:7" x14ac:dyDescent="0.25">
      <c r="A91" s="20" t="s">
        <v>96</v>
      </c>
      <c r="B91" s="21"/>
      <c r="C91" s="21"/>
      <c r="D91" s="22">
        <f t="shared" si="4"/>
        <v>0</v>
      </c>
      <c r="E91" s="23" t="str">
        <f t="shared" si="5"/>
        <v/>
      </c>
    </row>
    <row r="92" spans="1:7" x14ac:dyDescent="0.25">
      <c r="A92" s="20" t="s">
        <v>97</v>
      </c>
      <c r="B92" s="21"/>
      <c r="C92" s="22">
        <f>1000</f>
        <v>1000</v>
      </c>
      <c r="D92" s="22">
        <f t="shared" si="4"/>
        <v>-1000</v>
      </c>
      <c r="E92" s="23">
        <f t="shared" si="5"/>
        <v>0</v>
      </c>
      <c r="F92" s="27">
        <v>1000</v>
      </c>
    </row>
    <row r="93" spans="1:7" x14ac:dyDescent="0.25">
      <c r="A93" s="20" t="s">
        <v>98</v>
      </c>
      <c r="B93" s="21"/>
      <c r="C93" s="22">
        <f>300</f>
        <v>300</v>
      </c>
      <c r="D93" s="22">
        <f t="shared" si="4"/>
        <v>-300</v>
      </c>
      <c r="E93" s="23">
        <f t="shared" si="5"/>
        <v>0</v>
      </c>
      <c r="F93" s="27">
        <v>300</v>
      </c>
    </row>
    <row r="94" spans="1:7" x14ac:dyDescent="0.25">
      <c r="A94" s="20" t="s">
        <v>99</v>
      </c>
      <c r="B94" s="22">
        <f>1801.75</f>
        <v>1801.75</v>
      </c>
      <c r="C94" s="22">
        <f>2300</f>
        <v>2300</v>
      </c>
      <c r="D94" s="22">
        <f t="shared" si="4"/>
        <v>-498.25</v>
      </c>
      <c r="E94" s="23">
        <f t="shared" si="5"/>
        <v>0.78336956521739132</v>
      </c>
      <c r="F94" s="27">
        <v>2000</v>
      </c>
    </row>
    <row r="95" spans="1:7" x14ac:dyDescent="0.25">
      <c r="A95" s="20" t="s">
        <v>100</v>
      </c>
      <c r="B95" s="22">
        <f>3522.44</f>
        <v>3522.44</v>
      </c>
      <c r="C95" s="22">
        <f>3000</f>
        <v>3000</v>
      </c>
      <c r="D95" s="22">
        <f t="shared" si="4"/>
        <v>522.44000000000005</v>
      </c>
      <c r="E95" s="23">
        <f t="shared" si="5"/>
        <v>1.1741466666666667</v>
      </c>
      <c r="F95" s="27">
        <v>3600</v>
      </c>
    </row>
    <row r="96" spans="1:7" x14ac:dyDescent="0.25">
      <c r="A96" s="20" t="s">
        <v>101</v>
      </c>
      <c r="B96" s="22">
        <f>2600</f>
        <v>2600</v>
      </c>
      <c r="C96" s="22">
        <f>3000</f>
        <v>3000</v>
      </c>
      <c r="D96" s="22">
        <f t="shared" si="4"/>
        <v>-400</v>
      </c>
      <c r="E96" s="23">
        <f t="shared" si="5"/>
        <v>0.8666666666666667</v>
      </c>
      <c r="F96" s="27">
        <v>3000</v>
      </c>
    </row>
    <row r="97" spans="1:7" x14ac:dyDescent="0.25">
      <c r="A97" s="20" t="s">
        <v>102</v>
      </c>
      <c r="B97" s="24">
        <f>(((((B91)+(B92))+(B93))+(B94))+(B95))+(B96)</f>
        <v>7924.1900000000005</v>
      </c>
      <c r="C97" s="24">
        <f>(((((C91)+(C92))+(C93))+(C94))+(C95))+(C96)</f>
        <v>9600</v>
      </c>
      <c r="D97" s="24">
        <f t="shared" si="4"/>
        <v>-1675.8099999999995</v>
      </c>
      <c r="E97" s="25">
        <f t="shared" si="5"/>
        <v>0.82543645833333334</v>
      </c>
    </row>
    <row r="98" spans="1:7" x14ac:dyDescent="0.25">
      <c r="A98" s="20" t="s">
        <v>103</v>
      </c>
      <c r="B98" s="21"/>
      <c r="C98" s="21"/>
      <c r="D98" s="22">
        <f t="shared" si="4"/>
        <v>0</v>
      </c>
      <c r="E98" s="23" t="str">
        <f t="shared" si="5"/>
        <v/>
      </c>
    </row>
    <row r="99" spans="1:7" x14ac:dyDescent="0.25">
      <c r="A99" s="20" t="s">
        <v>104</v>
      </c>
      <c r="B99" s="21"/>
      <c r="C99" s="22">
        <f>1000</f>
        <v>1000</v>
      </c>
      <c r="D99" s="22">
        <f t="shared" si="4"/>
        <v>-1000</v>
      </c>
      <c r="E99" s="23">
        <f t="shared" si="5"/>
        <v>0</v>
      </c>
      <c r="F99" s="27">
        <v>1000</v>
      </c>
    </row>
    <row r="100" spans="1:7" x14ac:dyDescent="0.25">
      <c r="A100" s="20" t="s">
        <v>105</v>
      </c>
      <c r="B100" s="22">
        <f>80</f>
        <v>80</v>
      </c>
      <c r="C100" s="21"/>
      <c r="D100" s="22">
        <f t="shared" si="4"/>
        <v>80</v>
      </c>
      <c r="E100" s="23" t="str">
        <f t="shared" si="5"/>
        <v/>
      </c>
      <c r="F100" s="27">
        <v>80</v>
      </c>
    </row>
    <row r="101" spans="1:7" x14ac:dyDescent="0.25">
      <c r="A101" s="20" t="s">
        <v>106</v>
      </c>
      <c r="B101" s="21"/>
      <c r="C101" s="22">
        <f>260</f>
        <v>260</v>
      </c>
      <c r="D101" s="22">
        <f t="shared" si="4"/>
        <v>-260</v>
      </c>
      <c r="E101" s="23">
        <f t="shared" si="5"/>
        <v>0</v>
      </c>
      <c r="F101" s="27">
        <v>260</v>
      </c>
    </row>
    <row r="102" spans="1:7" x14ac:dyDescent="0.25">
      <c r="A102" s="20" t="s">
        <v>107</v>
      </c>
      <c r="B102" s="22">
        <f>693</f>
        <v>693</v>
      </c>
      <c r="C102" s="22">
        <f>1100</f>
        <v>1100</v>
      </c>
      <c r="D102" s="22">
        <f t="shared" si="4"/>
        <v>-407</v>
      </c>
      <c r="E102" s="23">
        <f t="shared" si="5"/>
        <v>0.63</v>
      </c>
      <c r="F102" s="27">
        <v>1000</v>
      </c>
    </row>
    <row r="103" spans="1:7" x14ac:dyDescent="0.25">
      <c r="A103" s="20" t="s">
        <v>108</v>
      </c>
      <c r="B103" s="24">
        <f>((B100)+(B101))+(B102)</f>
        <v>773</v>
      </c>
      <c r="C103" s="24">
        <f>((C100)+(C101))+(C102)</f>
        <v>1360</v>
      </c>
      <c r="D103" s="24">
        <f t="shared" si="4"/>
        <v>-587</v>
      </c>
      <c r="E103" s="25">
        <f t="shared" si="5"/>
        <v>0.56838235294117645</v>
      </c>
    </row>
    <row r="104" spans="1:7" x14ac:dyDescent="0.25">
      <c r="A104" s="20" t="s">
        <v>109</v>
      </c>
      <c r="B104" s="22">
        <f>800</f>
        <v>800</v>
      </c>
      <c r="C104" s="21"/>
      <c r="D104" s="22">
        <f t="shared" si="4"/>
        <v>800</v>
      </c>
      <c r="E104" s="23" t="str">
        <f t="shared" si="5"/>
        <v/>
      </c>
      <c r="F104" s="27">
        <v>800</v>
      </c>
    </row>
    <row r="105" spans="1:7" x14ac:dyDescent="0.25">
      <c r="A105" s="20" t="s">
        <v>110</v>
      </c>
      <c r="B105" s="21"/>
      <c r="C105" s="22">
        <f>600</f>
        <v>600</v>
      </c>
      <c r="D105" s="22">
        <f t="shared" si="4"/>
        <v>-600</v>
      </c>
      <c r="E105" s="23">
        <f t="shared" si="5"/>
        <v>0</v>
      </c>
      <c r="F105" s="27">
        <v>600</v>
      </c>
    </row>
    <row r="106" spans="1:7" x14ac:dyDescent="0.25">
      <c r="A106" s="20" t="s">
        <v>111</v>
      </c>
      <c r="B106" s="24">
        <f>((((B98)+(B99))+(B103))+(B104))+(B105)</f>
        <v>1573</v>
      </c>
      <c r="C106" s="24">
        <f>((((C98)+(C99))+(C103))+(C104))+(C105)</f>
        <v>2960</v>
      </c>
      <c r="D106" s="24">
        <f t="shared" si="4"/>
        <v>-1387</v>
      </c>
      <c r="E106" s="25">
        <f t="shared" si="5"/>
        <v>0.5314189189189189</v>
      </c>
    </row>
    <row r="107" spans="1:7" x14ac:dyDescent="0.25">
      <c r="A107" s="20" t="s">
        <v>112</v>
      </c>
      <c r="B107" s="24">
        <f>((B90)+(B97))+(B106)</f>
        <v>9497.19</v>
      </c>
      <c r="C107" s="24">
        <f>((C90)+(C97))+(C106)</f>
        <v>12560</v>
      </c>
      <c r="D107" s="24">
        <f t="shared" si="4"/>
        <v>-3062.8099999999995</v>
      </c>
      <c r="E107" s="25">
        <f t="shared" si="5"/>
        <v>0.75614570063694275</v>
      </c>
    </row>
    <row r="108" spans="1:7" x14ac:dyDescent="0.25">
      <c r="A108" s="20" t="s">
        <v>113</v>
      </c>
      <c r="B108" s="21"/>
      <c r="C108" s="21"/>
      <c r="D108" s="22">
        <f t="shared" si="4"/>
        <v>0</v>
      </c>
      <c r="E108" s="23" t="str">
        <f t="shared" si="5"/>
        <v/>
      </c>
    </row>
    <row r="109" spans="1:7" x14ac:dyDescent="0.25">
      <c r="A109" s="20" t="s">
        <v>114</v>
      </c>
      <c r="B109" s="21"/>
      <c r="C109" s="21"/>
      <c r="D109" s="22">
        <f t="shared" si="4"/>
        <v>0</v>
      </c>
      <c r="E109" s="23" t="str">
        <f t="shared" si="5"/>
        <v/>
      </c>
    </row>
    <row r="110" spans="1:7" x14ac:dyDescent="0.25">
      <c r="A110" s="20" t="s">
        <v>115</v>
      </c>
      <c r="B110" s="22">
        <f>1830</f>
        <v>1830</v>
      </c>
      <c r="C110" s="22">
        <f>1800</f>
        <v>1800</v>
      </c>
      <c r="D110" s="22">
        <f t="shared" si="4"/>
        <v>30</v>
      </c>
      <c r="E110" s="23">
        <f t="shared" si="5"/>
        <v>1.0166666666666666</v>
      </c>
      <c r="F110" s="27">
        <v>2000</v>
      </c>
    </row>
    <row r="111" spans="1:7" x14ac:dyDescent="0.25">
      <c r="A111" s="20" t="s">
        <v>116</v>
      </c>
      <c r="B111" s="22">
        <f>1308.33</f>
        <v>1308.33</v>
      </c>
      <c r="C111" s="22">
        <f>3000</f>
        <v>3000</v>
      </c>
      <c r="D111" s="22">
        <f t="shared" si="4"/>
        <v>-1691.67</v>
      </c>
      <c r="E111" s="23">
        <f t="shared" si="5"/>
        <v>0.43611</v>
      </c>
      <c r="F111" s="27">
        <v>2500</v>
      </c>
    </row>
    <row r="112" spans="1:7" x14ac:dyDescent="0.25">
      <c r="A112" s="20" t="s">
        <v>117</v>
      </c>
      <c r="B112" s="22">
        <f>470.96</f>
        <v>470.96</v>
      </c>
      <c r="C112" s="22">
        <f>1000</f>
        <v>1000</v>
      </c>
      <c r="D112" s="22">
        <f t="shared" si="4"/>
        <v>-529.04</v>
      </c>
      <c r="E112" s="23">
        <f t="shared" si="5"/>
        <v>0.47095999999999999</v>
      </c>
      <c r="F112" s="27">
        <v>3500</v>
      </c>
      <c r="G112" t="s">
        <v>118</v>
      </c>
    </row>
    <row r="113" spans="1:6" x14ac:dyDescent="0.25">
      <c r="A113" s="20" t="s">
        <v>119</v>
      </c>
      <c r="B113" s="24">
        <f>(((B109)+(B110))+(B111))+(B112)</f>
        <v>3609.29</v>
      </c>
      <c r="C113" s="24">
        <f>(((C109)+(C110))+(C111))+(C112)</f>
        <v>5800</v>
      </c>
      <c r="D113" s="24">
        <f t="shared" si="4"/>
        <v>-2190.71</v>
      </c>
      <c r="E113" s="25">
        <f t="shared" si="5"/>
        <v>0.62229137931034484</v>
      </c>
    </row>
    <row r="114" spans="1:6" x14ac:dyDescent="0.25">
      <c r="A114" s="20" t="s">
        <v>120</v>
      </c>
      <c r="B114" s="22">
        <f>1473.33</f>
        <v>1473.33</v>
      </c>
      <c r="C114" s="22">
        <f>1200</f>
        <v>1200</v>
      </c>
      <c r="D114" s="22">
        <f t="shared" si="4"/>
        <v>273.32999999999993</v>
      </c>
      <c r="E114" s="23">
        <f t="shared" si="5"/>
        <v>1.2277749999999998</v>
      </c>
      <c r="F114" s="27">
        <v>3000</v>
      </c>
    </row>
    <row r="115" spans="1:6" x14ac:dyDescent="0.25">
      <c r="A115" s="20" t="s">
        <v>121</v>
      </c>
      <c r="B115" s="22">
        <f>885.6</f>
        <v>885.6</v>
      </c>
      <c r="C115" s="22">
        <f>2000</f>
        <v>2000</v>
      </c>
      <c r="D115" s="22">
        <f t="shared" si="4"/>
        <v>-1114.4000000000001</v>
      </c>
      <c r="E115" s="23">
        <f t="shared" si="5"/>
        <v>0.44280000000000003</v>
      </c>
      <c r="F115" s="27">
        <v>3000</v>
      </c>
    </row>
    <row r="116" spans="1:6" x14ac:dyDescent="0.25">
      <c r="A116" s="20" t="s">
        <v>122</v>
      </c>
      <c r="B116" s="22">
        <f>162.41</f>
        <v>162.41</v>
      </c>
      <c r="C116" s="22">
        <f>800</f>
        <v>800</v>
      </c>
      <c r="D116" s="22">
        <f t="shared" si="4"/>
        <v>-637.59</v>
      </c>
      <c r="E116" s="23">
        <f t="shared" si="5"/>
        <v>0.20301249999999998</v>
      </c>
      <c r="F116" s="27">
        <v>800</v>
      </c>
    </row>
    <row r="117" spans="1:6" x14ac:dyDescent="0.25">
      <c r="A117" s="20" t="s">
        <v>123</v>
      </c>
      <c r="B117" s="21"/>
      <c r="C117" s="21"/>
      <c r="D117" s="22">
        <f t="shared" si="4"/>
        <v>0</v>
      </c>
      <c r="E117" s="23" t="str">
        <f t="shared" si="5"/>
        <v/>
      </c>
    </row>
    <row r="118" spans="1:6" x14ac:dyDescent="0.25">
      <c r="A118" s="20" t="s">
        <v>124</v>
      </c>
      <c r="B118" s="21"/>
      <c r="C118" s="22">
        <f>800</f>
        <v>800</v>
      </c>
      <c r="D118" s="22">
        <f t="shared" si="4"/>
        <v>-800</v>
      </c>
      <c r="E118" s="23">
        <f t="shared" si="5"/>
        <v>0</v>
      </c>
      <c r="F118" s="27">
        <v>800</v>
      </c>
    </row>
    <row r="119" spans="1:6" x14ac:dyDescent="0.25">
      <c r="A119" s="20" t="s">
        <v>125</v>
      </c>
      <c r="B119" s="22">
        <f>2378.33</f>
        <v>2378.33</v>
      </c>
      <c r="C119" s="22">
        <f>2500</f>
        <v>2500</v>
      </c>
      <c r="D119" s="22">
        <f t="shared" si="4"/>
        <v>-121.67000000000007</v>
      </c>
      <c r="E119" s="23">
        <f t="shared" si="5"/>
        <v>0.95133199999999996</v>
      </c>
      <c r="F119" s="27">
        <v>2500</v>
      </c>
    </row>
    <row r="120" spans="1:6" x14ac:dyDescent="0.25">
      <c r="A120" s="20" t="s">
        <v>126</v>
      </c>
      <c r="B120" s="21"/>
      <c r="C120" s="22">
        <f>100</f>
        <v>100</v>
      </c>
      <c r="D120" s="22">
        <f t="shared" si="4"/>
        <v>-100</v>
      </c>
      <c r="E120" s="23">
        <f t="shared" si="5"/>
        <v>0</v>
      </c>
      <c r="F120" s="27">
        <v>100</v>
      </c>
    </row>
    <row r="121" spans="1:6" x14ac:dyDescent="0.25">
      <c r="A121" s="20" t="s">
        <v>127</v>
      </c>
      <c r="B121" s="24">
        <f>(((B117)+(B118))+(B119))+(B120)</f>
        <v>2378.33</v>
      </c>
      <c r="C121" s="24">
        <f>(((C117)+(C118))+(C119))+(C120)</f>
        <v>3400</v>
      </c>
      <c r="D121" s="24">
        <f t="shared" si="4"/>
        <v>-1021.6700000000001</v>
      </c>
      <c r="E121" s="25">
        <f t="shared" si="5"/>
        <v>0.69950882352941179</v>
      </c>
    </row>
    <row r="122" spans="1:6" x14ac:dyDescent="0.25">
      <c r="A122" s="20" t="s">
        <v>128</v>
      </c>
      <c r="B122" s="24">
        <f>(((((B108)+(B113))+(B114))+(B115))+(B116))+(B121)</f>
        <v>8508.9599999999991</v>
      </c>
      <c r="C122" s="24">
        <f>(((((C108)+(C113))+(C114))+(C115))+(C116))+(C121)</f>
        <v>13200</v>
      </c>
      <c r="D122" s="24">
        <f t="shared" si="4"/>
        <v>-4691.0400000000009</v>
      </c>
      <c r="E122" s="25">
        <f t="shared" si="5"/>
        <v>0.64461818181818176</v>
      </c>
    </row>
    <row r="123" spans="1:6" x14ac:dyDescent="0.25">
      <c r="A123" s="20" t="s">
        <v>129</v>
      </c>
      <c r="B123" s="22">
        <f>2245.78</f>
        <v>2245.7800000000002</v>
      </c>
      <c r="C123" s="22">
        <f>5000</f>
        <v>5000</v>
      </c>
      <c r="D123" s="22">
        <f t="shared" si="4"/>
        <v>-2754.22</v>
      </c>
      <c r="E123" s="23">
        <f t="shared" si="5"/>
        <v>0.44915600000000006</v>
      </c>
      <c r="F123" s="27">
        <v>5000</v>
      </c>
    </row>
    <row r="124" spans="1:6" x14ac:dyDescent="0.25">
      <c r="A124" s="20" t="s">
        <v>130</v>
      </c>
      <c r="B124" s="22">
        <f>1930.95</f>
        <v>1930.95</v>
      </c>
      <c r="C124" s="22">
        <f>10000</f>
        <v>10000</v>
      </c>
      <c r="D124" s="22">
        <f t="shared" si="4"/>
        <v>-8069.05</v>
      </c>
      <c r="E124" s="23">
        <f t="shared" si="5"/>
        <v>0.19309500000000002</v>
      </c>
      <c r="F124" s="27">
        <v>10000</v>
      </c>
    </row>
    <row r="125" spans="1:6" x14ac:dyDescent="0.25">
      <c r="A125" s="20" t="s">
        <v>131</v>
      </c>
      <c r="B125" s="24">
        <f>(B123)+(B124)</f>
        <v>4176.7300000000005</v>
      </c>
      <c r="C125" s="24">
        <f>(C123)+(C124)</f>
        <v>15000</v>
      </c>
      <c r="D125" s="24">
        <f t="shared" si="4"/>
        <v>-10823.27</v>
      </c>
      <c r="E125" s="25">
        <f t="shared" si="5"/>
        <v>0.27844866666666668</v>
      </c>
    </row>
    <row r="126" spans="1:6" x14ac:dyDescent="0.25">
      <c r="A126" s="20" t="s">
        <v>132</v>
      </c>
      <c r="B126" s="21"/>
      <c r="C126" s="21"/>
      <c r="D126" s="22">
        <f t="shared" si="4"/>
        <v>0</v>
      </c>
      <c r="E126" s="23" t="str">
        <f t="shared" si="5"/>
        <v/>
      </c>
    </row>
    <row r="127" spans="1:6" x14ac:dyDescent="0.25">
      <c r="A127" s="20" t="s">
        <v>133</v>
      </c>
      <c r="B127" s="22">
        <f>1227.5</f>
        <v>1227.5</v>
      </c>
      <c r="C127" s="22">
        <f>1200</f>
        <v>1200</v>
      </c>
      <c r="D127" s="22">
        <f t="shared" si="4"/>
        <v>27.5</v>
      </c>
      <c r="E127" s="23">
        <f t="shared" si="5"/>
        <v>1.0229166666666667</v>
      </c>
      <c r="F127" s="27">
        <v>1200</v>
      </c>
    </row>
    <row r="128" spans="1:6" x14ac:dyDescent="0.25">
      <c r="A128" s="20" t="s">
        <v>134</v>
      </c>
      <c r="B128" s="21"/>
      <c r="C128" s="22">
        <f>1000</f>
        <v>1000</v>
      </c>
      <c r="D128" s="22">
        <f t="shared" si="4"/>
        <v>-1000</v>
      </c>
      <c r="E128" s="23">
        <f t="shared" si="5"/>
        <v>0</v>
      </c>
      <c r="F128" s="27">
        <v>1000</v>
      </c>
    </row>
    <row r="129" spans="1:7" x14ac:dyDescent="0.25">
      <c r="A129" s="20" t="s">
        <v>135</v>
      </c>
      <c r="B129" s="24">
        <f>((B126)+(B127))+(B128)</f>
        <v>1227.5</v>
      </c>
      <c r="C129" s="24">
        <f>((C126)+(C127))+(C128)</f>
        <v>2200</v>
      </c>
      <c r="D129" s="24">
        <f t="shared" si="4"/>
        <v>-972.5</v>
      </c>
      <c r="E129" s="25">
        <f t="shared" si="5"/>
        <v>0.55795454545454548</v>
      </c>
    </row>
    <row r="130" spans="1:7" x14ac:dyDescent="0.25">
      <c r="A130" s="20" t="s">
        <v>136</v>
      </c>
      <c r="B130" s="21"/>
      <c r="C130" s="21"/>
      <c r="D130" s="22">
        <f t="shared" si="4"/>
        <v>0</v>
      </c>
      <c r="E130" s="23" t="str">
        <f t="shared" si="5"/>
        <v/>
      </c>
    </row>
    <row r="131" spans="1:7" x14ac:dyDescent="0.25">
      <c r="A131" s="20" t="s">
        <v>137</v>
      </c>
      <c r="B131" s="22">
        <f>2362.6</f>
        <v>2362.6</v>
      </c>
      <c r="C131" s="22">
        <f>2500</f>
        <v>2500</v>
      </c>
      <c r="D131" s="22">
        <f t="shared" si="4"/>
        <v>-137.40000000000009</v>
      </c>
      <c r="E131" s="23">
        <f t="shared" si="5"/>
        <v>0.94503999999999999</v>
      </c>
      <c r="F131" s="27">
        <v>2600</v>
      </c>
    </row>
    <row r="132" spans="1:7" x14ac:dyDescent="0.25">
      <c r="A132" s="20" t="s">
        <v>138</v>
      </c>
      <c r="B132" s="22">
        <f>30883.75</f>
        <v>30883.75</v>
      </c>
      <c r="C132" s="22">
        <f>32118.87</f>
        <v>32118.87</v>
      </c>
      <c r="D132" s="22">
        <f t="shared" si="4"/>
        <v>-1235.119999999999</v>
      </c>
      <c r="E132" s="23">
        <f t="shared" si="5"/>
        <v>0.96154534701874628</v>
      </c>
      <c r="F132" s="27">
        <v>33725</v>
      </c>
      <c r="G132" t="s">
        <v>139</v>
      </c>
    </row>
    <row r="133" spans="1:7" x14ac:dyDescent="0.25">
      <c r="A133" s="20" t="s">
        <v>140</v>
      </c>
      <c r="B133" s="22">
        <f>4671</f>
        <v>4671</v>
      </c>
      <c r="C133" s="22">
        <f>4800</f>
        <v>4800</v>
      </c>
      <c r="D133" s="22">
        <f t="shared" si="4"/>
        <v>-129</v>
      </c>
      <c r="E133" s="23">
        <f t="shared" si="5"/>
        <v>0.97312500000000002</v>
      </c>
      <c r="F133" s="27">
        <v>8400</v>
      </c>
    </row>
    <row r="134" spans="1:7" x14ac:dyDescent="0.25">
      <c r="A134" s="20" t="s">
        <v>141</v>
      </c>
      <c r="B134" s="24">
        <f>(B132)+(B133)</f>
        <v>35554.75</v>
      </c>
      <c r="C134" s="24">
        <f>(C132)+(C133)</f>
        <v>36918.869999999995</v>
      </c>
      <c r="D134" s="24">
        <f t="shared" si="4"/>
        <v>-1364.1199999999953</v>
      </c>
      <c r="E134" s="25">
        <f t="shared" si="5"/>
        <v>0.96305087344222629</v>
      </c>
    </row>
    <row r="135" spans="1:7" x14ac:dyDescent="0.25">
      <c r="A135" s="20" t="s">
        <v>142</v>
      </c>
      <c r="B135" s="24">
        <f>((B130)+(B131))+(B134)</f>
        <v>37917.35</v>
      </c>
      <c r="C135" s="24">
        <f>((C130)+(C131))+(C134)</f>
        <v>39418.869999999995</v>
      </c>
      <c r="D135" s="24">
        <f t="shared" si="4"/>
        <v>-1501.5199999999968</v>
      </c>
      <c r="E135" s="25">
        <f t="shared" si="5"/>
        <v>0.96190859859757527</v>
      </c>
    </row>
    <row r="136" spans="1:7" x14ac:dyDescent="0.25">
      <c r="A136" s="20" t="s">
        <v>143</v>
      </c>
      <c r="B136" s="21"/>
      <c r="C136" s="21"/>
      <c r="D136" s="22">
        <f t="shared" si="4"/>
        <v>0</v>
      </c>
      <c r="E136" s="23" t="str">
        <f t="shared" si="5"/>
        <v/>
      </c>
    </row>
    <row r="137" spans="1:7" x14ac:dyDescent="0.25">
      <c r="A137" s="20" t="s">
        <v>144</v>
      </c>
      <c r="B137" s="21"/>
      <c r="C137" s="21"/>
      <c r="D137" s="22">
        <f t="shared" si="4"/>
        <v>0</v>
      </c>
      <c r="E137" s="23" t="str">
        <f t="shared" si="5"/>
        <v/>
      </c>
    </row>
    <row r="138" spans="1:7" x14ac:dyDescent="0.25">
      <c r="A138" s="20" t="s">
        <v>145</v>
      </c>
      <c r="B138" s="21"/>
      <c r="C138" s="21"/>
      <c r="D138" s="22">
        <f t="shared" ref="D138:D206" si="6">(B138)-(C138)</f>
        <v>0</v>
      </c>
      <c r="E138" s="23" t="str">
        <f t="shared" ref="E138:E206" si="7">IF(C138=0,"",(B138)/(C138))</f>
        <v/>
      </c>
    </row>
    <row r="139" spans="1:7" x14ac:dyDescent="0.25">
      <c r="A139" s="20" t="s">
        <v>146</v>
      </c>
      <c r="B139" s="22">
        <f>905</f>
        <v>905</v>
      </c>
      <c r="C139" s="22">
        <f>900</f>
        <v>900</v>
      </c>
      <c r="D139" s="22">
        <f t="shared" si="6"/>
        <v>5</v>
      </c>
      <c r="E139" s="23">
        <f t="shared" si="7"/>
        <v>1.0055555555555555</v>
      </c>
      <c r="F139" s="27">
        <v>1000</v>
      </c>
    </row>
    <row r="140" spans="1:7" x14ac:dyDescent="0.25">
      <c r="A140" s="20" t="s">
        <v>147</v>
      </c>
      <c r="B140" s="21"/>
      <c r="C140" s="22">
        <f>2000</f>
        <v>2000</v>
      </c>
      <c r="D140" s="22">
        <f t="shared" si="6"/>
        <v>-2000</v>
      </c>
      <c r="E140" s="23">
        <f t="shared" si="7"/>
        <v>0</v>
      </c>
      <c r="F140" s="27">
        <v>0</v>
      </c>
    </row>
    <row r="141" spans="1:7" x14ac:dyDescent="0.25">
      <c r="A141" s="20" t="s">
        <v>148</v>
      </c>
      <c r="B141" s="22">
        <f>1479.81</f>
        <v>1479.81</v>
      </c>
      <c r="C141" s="22">
        <f>1300</f>
        <v>1300</v>
      </c>
      <c r="D141" s="22">
        <f t="shared" si="6"/>
        <v>179.80999999999995</v>
      </c>
      <c r="E141" s="23">
        <f t="shared" si="7"/>
        <v>1.1383153846153846</v>
      </c>
      <c r="F141" s="27">
        <v>1500</v>
      </c>
    </row>
    <row r="142" spans="1:7" x14ac:dyDescent="0.25">
      <c r="A142" s="20" t="s">
        <v>149</v>
      </c>
      <c r="B142" s="22">
        <f>1000.75</f>
        <v>1000.75</v>
      </c>
      <c r="C142" s="22">
        <f>1800</f>
        <v>1800</v>
      </c>
      <c r="D142" s="22">
        <f t="shared" si="6"/>
        <v>-799.25</v>
      </c>
      <c r="E142" s="23">
        <f t="shared" si="7"/>
        <v>0.5559722222222222</v>
      </c>
      <c r="F142" s="27">
        <v>1800</v>
      </c>
    </row>
    <row r="143" spans="1:7" x14ac:dyDescent="0.25">
      <c r="A143" s="20" t="s">
        <v>150</v>
      </c>
      <c r="B143" s="22">
        <f>3500</f>
        <v>3500</v>
      </c>
      <c r="C143" s="22">
        <f>5500</f>
        <v>5500</v>
      </c>
      <c r="D143" s="22">
        <f t="shared" si="6"/>
        <v>-2000</v>
      </c>
      <c r="E143" s="23">
        <f t="shared" si="7"/>
        <v>0.63636363636363635</v>
      </c>
      <c r="F143" s="27">
        <v>3500</v>
      </c>
    </row>
    <row r="144" spans="1:7" x14ac:dyDescent="0.25">
      <c r="A144" s="20" t="s">
        <v>151</v>
      </c>
      <c r="B144" s="22">
        <f>3300</f>
        <v>3300</v>
      </c>
      <c r="C144" s="22">
        <f>4000</f>
        <v>4000</v>
      </c>
      <c r="D144" s="22">
        <f t="shared" si="6"/>
        <v>-700</v>
      </c>
      <c r="E144" s="23">
        <f t="shared" si="7"/>
        <v>0.82499999999999996</v>
      </c>
      <c r="F144" s="27">
        <v>3800</v>
      </c>
    </row>
    <row r="145" spans="1:7" x14ac:dyDescent="0.25">
      <c r="A145" s="20" t="s">
        <v>152</v>
      </c>
      <c r="B145" s="22">
        <f>380</f>
        <v>380</v>
      </c>
      <c r="C145" s="22">
        <f>780</f>
        <v>780</v>
      </c>
      <c r="D145" s="22">
        <f t="shared" si="6"/>
        <v>-400</v>
      </c>
      <c r="E145" s="23">
        <f t="shared" si="7"/>
        <v>0.48717948717948717</v>
      </c>
      <c r="F145" s="27">
        <v>500</v>
      </c>
    </row>
    <row r="146" spans="1:7" x14ac:dyDescent="0.25">
      <c r="A146" s="20" t="s">
        <v>153</v>
      </c>
      <c r="B146" s="22">
        <f>92.56</f>
        <v>92.56</v>
      </c>
      <c r="C146" s="22">
        <f>1200</f>
        <v>1200</v>
      </c>
      <c r="D146" s="22">
        <f t="shared" si="6"/>
        <v>-1107.44</v>
      </c>
      <c r="E146" s="23">
        <f t="shared" si="7"/>
        <v>7.7133333333333332E-2</v>
      </c>
      <c r="F146" s="27">
        <v>500</v>
      </c>
    </row>
    <row r="147" spans="1:7" x14ac:dyDescent="0.25">
      <c r="A147" s="20" t="s">
        <v>154</v>
      </c>
      <c r="B147" s="22">
        <f>1080</f>
        <v>1080</v>
      </c>
      <c r="C147" s="22">
        <f>600</f>
        <v>600</v>
      </c>
      <c r="D147" s="22">
        <f t="shared" si="6"/>
        <v>480</v>
      </c>
      <c r="E147" s="23">
        <f t="shared" si="7"/>
        <v>1.8</v>
      </c>
      <c r="F147" s="27">
        <v>1200</v>
      </c>
    </row>
    <row r="148" spans="1:7" x14ac:dyDescent="0.25">
      <c r="A148" s="20" t="s">
        <v>155</v>
      </c>
      <c r="B148" s="22">
        <f>2700</f>
        <v>2700</v>
      </c>
      <c r="C148" s="22">
        <f>3264</f>
        <v>3264</v>
      </c>
      <c r="D148" s="22">
        <f t="shared" si="6"/>
        <v>-564</v>
      </c>
      <c r="E148" s="23">
        <f t="shared" si="7"/>
        <v>0.82720588235294112</v>
      </c>
      <c r="F148" s="27">
        <v>3200</v>
      </c>
    </row>
    <row r="149" spans="1:7" x14ac:dyDescent="0.25">
      <c r="A149" s="20" t="s">
        <v>156</v>
      </c>
      <c r="B149" s="24">
        <f>((((((((((B138)+(B139))+(B140))+(B141))+(B142))+(B143))+(B144))+(B145))+(B146))+(B147))+(B148)</f>
        <v>14438.119999999999</v>
      </c>
      <c r="C149" s="24">
        <f>((((((((((C138)+(C139))+(C140))+(C141))+(C142))+(C143))+(C144))+(C145))+(C146))+(C147))+(C148)</f>
        <v>21344</v>
      </c>
      <c r="D149" s="24">
        <f t="shared" si="6"/>
        <v>-6905.880000000001</v>
      </c>
      <c r="E149" s="25">
        <f t="shared" si="7"/>
        <v>0.67644865067466264</v>
      </c>
      <c r="G149" s="27">
        <f>SUM(F139:F148)</f>
        <v>17000</v>
      </c>
    </row>
    <row r="150" spans="1:7" x14ac:dyDescent="0.25">
      <c r="A150" s="20" t="s">
        <v>157</v>
      </c>
      <c r="B150" s="21"/>
      <c r="C150" s="21"/>
      <c r="D150" s="22">
        <f t="shared" si="6"/>
        <v>0</v>
      </c>
      <c r="E150" s="23" t="str">
        <f t="shared" si="7"/>
        <v/>
      </c>
    </row>
    <row r="151" spans="1:7" x14ac:dyDescent="0.25">
      <c r="A151" s="20" t="s">
        <v>158</v>
      </c>
      <c r="B151" s="22">
        <f>7380.95</f>
        <v>7380.95</v>
      </c>
      <c r="C151" s="22">
        <f>7500</f>
        <v>7500</v>
      </c>
      <c r="D151" s="22">
        <f t="shared" si="6"/>
        <v>-119.05000000000018</v>
      </c>
      <c r="E151" s="23">
        <f t="shared" si="7"/>
        <v>0.98412666666666659</v>
      </c>
      <c r="F151" s="27">
        <v>7500</v>
      </c>
    </row>
    <row r="152" spans="1:7" x14ac:dyDescent="0.25">
      <c r="A152" s="20" t="s">
        <v>159</v>
      </c>
      <c r="B152" s="21"/>
      <c r="C152" s="22">
        <f>20000</f>
        <v>20000</v>
      </c>
      <c r="D152" s="22">
        <f t="shared" si="6"/>
        <v>-20000</v>
      </c>
      <c r="E152" s="23">
        <f t="shared" si="7"/>
        <v>0</v>
      </c>
      <c r="F152" s="27">
        <v>0</v>
      </c>
    </row>
    <row r="153" spans="1:7" x14ac:dyDescent="0.25">
      <c r="A153" s="20" t="s">
        <v>160</v>
      </c>
      <c r="B153" s="22">
        <f>5224.19</f>
        <v>5224.1899999999996</v>
      </c>
      <c r="C153" s="22">
        <f>5100</f>
        <v>5100</v>
      </c>
      <c r="D153" s="22">
        <f t="shared" si="6"/>
        <v>124.1899999999996</v>
      </c>
      <c r="E153" s="23">
        <f t="shared" si="7"/>
        <v>1.0243509803921569</v>
      </c>
      <c r="F153" s="27">
        <v>5500</v>
      </c>
    </row>
    <row r="154" spans="1:7" x14ac:dyDescent="0.25">
      <c r="A154" s="20" t="s">
        <v>161</v>
      </c>
      <c r="B154" s="22">
        <f>8559.23</f>
        <v>8559.23</v>
      </c>
      <c r="C154" s="22">
        <f>5000</f>
        <v>5000</v>
      </c>
      <c r="D154" s="22">
        <f t="shared" si="6"/>
        <v>3559.2299999999996</v>
      </c>
      <c r="E154" s="23">
        <f t="shared" si="7"/>
        <v>1.711846</v>
      </c>
      <c r="F154" s="27">
        <v>9000</v>
      </c>
    </row>
    <row r="155" spans="1:7" x14ac:dyDescent="0.25">
      <c r="A155" s="20" t="s">
        <v>162</v>
      </c>
      <c r="B155" s="22">
        <f>21499</f>
        <v>21499</v>
      </c>
      <c r="C155" s="22">
        <f>19000</f>
        <v>19000</v>
      </c>
      <c r="D155" s="22">
        <f t="shared" si="6"/>
        <v>2499</v>
      </c>
      <c r="E155" s="23">
        <f t="shared" si="7"/>
        <v>1.1315263157894737</v>
      </c>
      <c r="F155" s="27">
        <v>22000</v>
      </c>
    </row>
    <row r="156" spans="1:7" x14ac:dyDescent="0.25">
      <c r="A156" s="20" t="s">
        <v>163</v>
      </c>
      <c r="B156" s="22">
        <f>13500</f>
        <v>13500</v>
      </c>
      <c r="C156" s="22">
        <f>11000</f>
        <v>11000</v>
      </c>
      <c r="D156" s="22">
        <f t="shared" si="6"/>
        <v>2500</v>
      </c>
      <c r="E156" s="23">
        <f t="shared" si="7"/>
        <v>1.2272727272727273</v>
      </c>
      <c r="F156" s="27">
        <v>14000</v>
      </c>
    </row>
    <row r="157" spans="1:7" x14ac:dyDescent="0.25">
      <c r="A157" s="20" t="s">
        <v>164</v>
      </c>
      <c r="B157" s="22">
        <f>2200</f>
        <v>2200</v>
      </c>
      <c r="C157" s="22">
        <f>2000</f>
        <v>2000</v>
      </c>
      <c r="D157" s="22">
        <f t="shared" si="6"/>
        <v>200</v>
      </c>
      <c r="E157" s="23">
        <f t="shared" si="7"/>
        <v>1.1000000000000001</v>
      </c>
      <c r="F157" s="27">
        <v>2500</v>
      </c>
    </row>
    <row r="158" spans="1:7" x14ac:dyDescent="0.25">
      <c r="A158" s="20" t="s">
        <v>165</v>
      </c>
      <c r="B158" s="22">
        <f>8418.39</f>
        <v>8418.39</v>
      </c>
      <c r="C158" s="22">
        <f>4000</f>
        <v>4000</v>
      </c>
      <c r="D158" s="22">
        <f t="shared" si="6"/>
        <v>4418.3899999999994</v>
      </c>
      <c r="E158" s="23">
        <f t="shared" si="7"/>
        <v>2.1045974999999997</v>
      </c>
      <c r="F158" s="27">
        <v>8500</v>
      </c>
    </row>
    <row r="159" spans="1:7" x14ac:dyDescent="0.25">
      <c r="A159" s="20" t="s">
        <v>166</v>
      </c>
      <c r="B159" s="22">
        <f>3545</f>
        <v>3545</v>
      </c>
      <c r="C159" s="22">
        <f>4500</f>
        <v>4500</v>
      </c>
      <c r="D159" s="22">
        <f t="shared" si="6"/>
        <v>-955</v>
      </c>
      <c r="E159" s="23">
        <f t="shared" si="7"/>
        <v>0.7877777777777778</v>
      </c>
      <c r="F159" s="27">
        <v>4000</v>
      </c>
    </row>
    <row r="160" spans="1:7" x14ac:dyDescent="0.25">
      <c r="A160" s="20" t="s">
        <v>167</v>
      </c>
      <c r="B160" s="22">
        <f>11700</f>
        <v>11700</v>
      </c>
      <c r="C160" s="22">
        <f>8000</f>
        <v>8000</v>
      </c>
      <c r="D160" s="22">
        <f t="shared" si="6"/>
        <v>3700</v>
      </c>
      <c r="E160" s="23">
        <f t="shared" si="7"/>
        <v>1.4624999999999999</v>
      </c>
      <c r="F160" s="27">
        <v>12000</v>
      </c>
    </row>
    <row r="161" spans="1:7" x14ac:dyDescent="0.25">
      <c r="A161" s="20" t="s">
        <v>168</v>
      </c>
      <c r="B161" s="24">
        <f>((((((((((B150)+(B151))+(B152))+(B153))+(B154))+(B155))+(B156))+(B157))+(B158))+(B159))+(B160)</f>
        <v>82026.759999999995</v>
      </c>
      <c r="C161" s="24">
        <f>((((((((((C150)+(C151))+(C152))+(C153))+(C154))+(C155))+(C156))+(C157))+(C158))+(C159))+(C160)</f>
        <v>86100</v>
      </c>
      <c r="D161" s="24">
        <f t="shared" si="6"/>
        <v>-4073.2400000000052</v>
      </c>
      <c r="E161" s="25">
        <f t="shared" si="7"/>
        <v>0.95269175377468052</v>
      </c>
      <c r="G161" s="12">
        <f>SUM(F151:F160)</f>
        <v>85000</v>
      </c>
    </row>
    <row r="162" spans="1:7" x14ac:dyDescent="0.25">
      <c r="A162" s="20" t="s">
        <v>169</v>
      </c>
      <c r="B162" s="21"/>
      <c r="C162" s="21"/>
      <c r="D162" s="22">
        <f t="shared" si="6"/>
        <v>0</v>
      </c>
      <c r="E162" s="23" t="str">
        <f t="shared" si="7"/>
        <v/>
      </c>
    </row>
    <row r="163" spans="1:7" x14ac:dyDescent="0.25">
      <c r="A163" s="20" t="s">
        <v>170</v>
      </c>
      <c r="B163" s="22">
        <f>15550.99</f>
        <v>15550.99</v>
      </c>
      <c r="C163" s="22">
        <f>10000</f>
        <v>10000</v>
      </c>
      <c r="D163" s="22">
        <f t="shared" si="6"/>
        <v>5550.99</v>
      </c>
      <c r="E163" s="23">
        <f t="shared" si="7"/>
        <v>1.555099</v>
      </c>
      <c r="F163" s="27">
        <v>16000</v>
      </c>
    </row>
    <row r="164" spans="1:7" x14ac:dyDescent="0.25">
      <c r="A164" s="20" t="s">
        <v>171</v>
      </c>
      <c r="B164" s="22">
        <f>3550.11</f>
        <v>3550.11</v>
      </c>
      <c r="C164" s="22">
        <f>3000</f>
        <v>3000</v>
      </c>
      <c r="D164" s="22">
        <f t="shared" si="6"/>
        <v>550.11000000000013</v>
      </c>
      <c r="E164" s="23">
        <f t="shared" si="7"/>
        <v>1.18337</v>
      </c>
      <c r="F164" s="27">
        <v>4000</v>
      </c>
    </row>
    <row r="165" spans="1:7" x14ac:dyDescent="0.25">
      <c r="A165" s="20" t="s">
        <v>172</v>
      </c>
      <c r="B165" s="22">
        <f>5943.9</f>
        <v>5943.9</v>
      </c>
      <c r="C165" s="22">
        <f>9000</f>
        <v>9000</v>
      </c>
      <c r="D165" s="22">
        <f t="shared" si="6"/>
        <v>-3056.1000000000004</v>
      </c>
      <c r="E165" s="23">
        <f t="shared" si="7"/>
        <v>0.66043333333333332</v>
      </c>
      <c r="F165" s="27">
        <v>6000</v>
      </c>
    </row>
    <row r="166" spans="1:7" x14ac:dyDescent="0.25">
      <c r="A166" s="20" t="s">
        <v>173</v>
      </c>
      <c r="B166" s="22">
        <f>6200</f>
        <v>6200</v>
      </c>
      <c r="C166" s="22">
        <f>7500</f>
        <v>7500</v>
      </c>
      <c r="D166" s="22">
        <f t="shared" si="6"/>
        <v>-1300</v>
      </c>
      <c r="E166" s="23">
        <f t="shared" si="7"/>
        <v>0.82666666666666666</v>
      </c>
      <c r="F166" s="27">
        <v>6700</v>
      </c>
    </row>
    <row r="167" spans="1:7" x14ac:dyDescent="0.25">
      <c r="A167" s="20" t="s">
        <v>174</v>
      </c>
      <c r="B167" s="22">
        <f>4250</f>
        <v>4250</v>
      </c>
      <c r="C167" s="22">
        <f>5350</f>
        <v>5350</v>
      </c>
      <c r="D167" s="22">
        <f t="shared" si="6"/>
        <v>-1100</v>
      </c>
      <c r="E167" s="23">
        <f t="shared" si="7"/>
        <v>0.79439252336448596</v>
      </c>
      <c r="F167" s="27">
        <v>4500</v>
      </c>
    </row>
    <row r="168" spans="1:7" x14ac:dyDescent="0.25">
      <c r="A168" s="20" t="s">
        <v>175</v>
      </c>
      <c r="B168" s="22">
        <f>1550</f>
        <v>1550</v>
      </c>
      <c r="C168" s="22">
        <f>1840</f>
        <v>1840</v>
      </c>
      <c r="D168" s="22">
        <f t="shared" si="6"/>
        <v>-290</v>
      </c>
      <c r="E168" s="23">
        <f t="shared" si="7"/>
        <v>0.84239130434782605</v>
      </c>
      <c r="F168" s="27">
        <v>1800</v>
      </c>
    </row>
    <row r="169" spans="1:7" x14ac:dyDescent="0.25">
      <c r="A169" s="20" t="s">
        <v>176</v>
      </c>
      <c r="B169" s="22">
        <f>5236.07</f>
        <v>5236.07</v>
      </c>
      <c r="C169" s="22">
        <f>4000</f>
        <v>4000</v>
      </c>
      <c r="D169" s="22">
        <f t="shared" si="6"/>
        <v>1236.0699999999997</v>
      </c>
      <c r="E169" s="23">
        <f t="shared" si="7"/>
        <v>1.3090174999999999</v>
      </c>
      <c r="F169" s="27">
        <v>5500</v>
      </c>
    </row>
    <row r="170" spans="1:7" x14ac:dyDescent="0.25">
      <c r="A170" s="20" t="s">
        <v>177</v>
      </c>
      <c r="B170" s="22">
        <f>2070</f>
        <v>2070</v>
      </c>
      <c r="C170" s="22">
        <f>2400</f>
        <v>2400</v>
      </c>
      <c r="D170" s="22">
        <f t="shared" si="6"/>
        <v>-330</v>
      </c>
      <c r="E170" s="23">
        <f t="shared" si="7"/>
        <v>0.86250000000000004</v>
      </c>
      <c r="F170" s="27">
        <v>2200</v>
      </c>
    </row>
    <row r="171" spans="1:7" x14ac:dyDescent="0.25">
      <c r="A171" s="20" t="s">
        <v>178</v>
      </c>
      <c r="B171" s="22">
        <f>7985</f>
        <v>7985</v>
      </c>
      <c r="C171" s="22">
        <f>8000</f>
        <v>8000</v>
      </c>
      <c r="D171" s="22">
        <f t="shared" si="6"/>
        <v>-15</v>
      </c>
      <c r="E171" s="23">
        <f t="shared" si="7"/>
        <v>0.99812500000000004</v>
      </c>
      <c r="F171" s="27">
        <v>8100</v>
      </c>
    </row>
    <row r="172" spans="1:7" x14ac:dyDescent="0.25">
      <c r="A172" s="20" t="s">
        <v>179</v>
      </c>
      <c r="B172" s="24">
        <f>(((((((((B162)+(B163))+(B164))+(B165))+(B166))+(B167))+(B168))+(B169))+(B170))+(B171)</f>
        <v>52336.07</v>
      </c>
      <c r="C172" s="24">
        <f>(((((((((C162)+(C163))+(C164))+(C165))+(C166))+(C167))+(C168))+(C169))+(C170))+(C171)</f>
        <v>51090</v>
      </c>
      <c r="D172" s="24">
        <f t="shared" si="6"/>
        <v>1246.0699999999997</v>
      </c>
      <c r="E172" s="25">
        <f t="shared" si="7"/>
        <v>1.0243897044431396</v>
      </c>
      <c r="G172" s="12">
        <f>SUM(F163:F171)</f>
        <v>54800</v>
      </c>
    </row>
    <row r="173" spans="1:7" x14ac:dyDescent="0.25">
      <c r="A173" s="20" t="s">
        <v>180</v>
      </c>
      <c r="B173" s="21"/>
      <c r="C173" s="21"/>
      <c r="D173" s="22">
        <f t="shared" si="6"/>
        <v>0</v>
      </c>
      <c r="E173" s="23" t="str">
        <f t="shared" si="7"/>
        <v/>
      </c>
    </row>
    <row r="174" spans="1:7" x14ac:dyDescent="0.25">
      <c r="A174" s="20" t="s">
        <v>181</v>
      </c>
      <c r="B174" s="22">
        <f>419</f>
        <v>419</v>
      </c>
      <c r="C174" s="22">
        <f>900</f>
        <v>900</v>
      </c>
      <c r="D174" s="22">
        <f t="shared" si="6"/>
        <v>-481</v>
      </c>
      <c r="E174" s="23">
        <f t="shared" si="7"/>
        <v>0.46555555555555556</v>
      </c>
      <c r="F174" s="27">
        <v>500</v>
      </c>
    </row>
    <row r="175" spans="1:7" ht="23.25" customHeight="1" x14ac:dyDescent="0.25">
      <c r="A175" s="20" t="s">
        <v>182</v>
      </c>
      <c r="B175" s="21"/>
      <c r="C175" s="22">
        <f>2000</f>
        <v>2000</v>
      </c>
      <c r="D175" s="22">
        <f t="shared" si="6"/>
        <v>-2000</v>
      </c>
      <c r="E175" s="23">
        <f t="shared" si="7"/>
        <v>0</v>
      </c>
    </row>
    <row r="176" spans="1:7" x14ac:dyDescent="0.25">
      <c r="A176" s="20" t="s">
        <v>183</v>
      </c>
      <c r="B176" s="22">
        <f>717.04</f>
        <v>717.04</v>
      </c>
      <c r="C176" s="22">
        <f>1000</f>
        <v>1000</v>
      </c>
      <c r="D176" s="22">
        <f t="shared" si="6"/>
        <v>-282.96000000000004</v>
      </c>
      <c r="E176" s="23">
        <f t="shared" si="7"/>
        <v>0.71704000000000001</v>
      </c>
      <c r="F176" s="27">
        <v>1000</v>
      </c>
    </row>
    <row r="177" spans="1:7" x14ac:dyDescent="0.25">
      <c r="A177" s="20" t="s">
        <v>184</v>
      </c>
      <c r="B177" s="22">
        <f>610.4</f>
        <v>610.4</v>
      </c>
      <c r="C177" s="22">
        <f>1200</f>
        <v>1200</v>
      </c>
      <c r="D177" s="22">
        <f t="shared" si="6"/>
        <v>-589.6</v>
      </c>
      <c r="E177" s="23">
        <f t="shared" si="7"/>
        <v>0.5086666666666666</v>
      </c>
      <c r="F177" s="27">
        <v>800</v>
      </c>
    </row>
    <row r="178" spans="1:7" x14ac:dyDescent="0.25">
      <c r="A178" s="20" t="s">
        <v>185</v>
      </c>
      <c r="B178" s="22">
        <f>2200</f>
        <v>2200</v>
      </c>
      <c r="C178" s="22">
        <f>3000</f>
        <v>3000</v>
      </c>
      <c r="D178" s="22">
        <f t="shared" si="6"/>
        <v>-800</v>
      </c>
      <c r="E178" s="23">
        <f t="shared" si="7"/>
        <v>0.73333333333333328</v>
      </c>
      <c r="F178" s="27">
        <v>2700</v>
      </c>
    </row>
    <row r="179" spans="1:7" x14ac:dyDescent="0.25">
      <c r="A179" s="20" t="s">
        <v>186</v>
      </c>
      <c r="B179" s="22">
        <f>2200</f>
        <v>2200</v>
      </c>
      <c r="C179" s="22">
        <f>3000</f>
        <v>3000</v>
      </c>
      <c r="D179" s="22">
        <f t="shared" si="6"/>
        <v>-800</v>
      </c>
      <c r="E179" s="23">
        <f t="shared" si="7"/>
        <v>0.73333333333333328</v>
      </c>
      <c r="F179" s="27">
        <v>2500</v>
      </c>
    </row>
    <row r="180" spans="1:7" x14ac:dyDescent="0.25">
      <c r="A180" s="20" t="s">
        <v>187</v>
      </c>
      <c r="B180" s="22">
        <f>320</f>
        <v>320</v>
      </c>
      <c r="C180" s="22">
        <f>400</f>
        <v>400</v>
      </c>
      <c r="D180" s="22">
        <f t="shared" si="6"/>
        <v>-80</v>
      </c>
      <c r="E180" s="23">
        <f t="shared" si="7"/>
        <v>0.8</v>
      </c>
      <c r="F180" s="27">
        <v>400</v>
      </c>
    </row>
    <row r="181" spans="1:7" x14ac:dyDescent="0.25">
      <c r="A181" s="20" t="s">
        <v>188</v>
      </c>
      <c r="B181" s="22">
        <f>622.36</f>
        <v>622.36</v>
      </c>
      <c r="C181" s="22">
        <f>1200</f>
        <v>1200</v>
      </c>
      <c r="D181" s="22">
        <f t="shared" si="6"/>
        <v>-577.64</v>
      </c>
      <c r="E181" s="23">
        <f t="shared" si="7"/>
        <v>0.51863333333333339</v>
      </c>
      <c r="F181" s="27">
        <v>800</v>
      </c>
    </row>
    <row r="182" spans="1:7" x14ac:dyDescent="0.25">
      <c r="A182" s="20" t="s">
        <v>189</v>
      </c>
      <c r="B182" s="22">
        <f>490</f>
        <v>490</v>
      </c>
      <c r="C182" s="22">
        <f>600</f>
        <v>600</v>
      </c>
      <c r="D182" s="22">
        <f t="shared" si="6"/>
        <v>-110</v>
      </c>
      <c r="E182" s="23">
        <f t="shared" si="7"/>
        <v>0.81666666666666665</v>
      </c>
      <c r="F182" s="27">
        <v>600</v>
      </c>
    </row>
    <row r="183" spans="1:7" x14ac:dyDescent="0.25">
      <c r="A183" s="20" t="s">
        <v>190</v>
      </c>
      <c r="B183" s="22">
        <f>1440</f>
        <v>1440</v>
      </c>
      <c r="C183" s="22">
        <f>2400</f>
        <v>2400</v>
      </c>
      <c r="D183" s="22">
        <f t="shared" si="6"/>
        <v>-960</v>
      </c>
      <c r="E183" s="23">
        <f t="shared" si="7"/>
        <v>0.6</v>
      </c>
      <c r="F183" s="27">
        <v>2000</v>
      </c>
    </row>
    <row r="184" spans="1:7" x14ac:dyDescent="0.25">
      <c r="A184" s="20" t="s">
        <v>191</v>
      </c>
      <c r="B184" s="24">
        <f>((((((((((B173)+(B174))+(B175))+(B176))+(B177))+(B178))+(B179))+(B180))+(B181))+(B182))+(B183)</f>
        <v>9018.7999999999993</v>
      </c>
      <c r="C184" s="24">
        <f>((((((((((C173)+(C174))+(C175))+(C176))+(C177))+(C178))+(C179))+(C180))+(C181))+(C182))+(C183)</f>
        <v>15700</v>
      </c>
      <c r="D184" s="24">
        <f t="shared" si="6"/>
        <v>-6681.2000000000007</v>
      </c>
      <c r="E184" s="25">
        <f t="shared" si="7"/>
        <v>0.57444585987261143</v>
      </c>
      <c r="G184" s="12">
        <f>SUM(F174:F183)</f>
        <v>11300</v>
      </c>
    </row>
    <row r="185" spans="1:7" x14ac:dyDescent="0.25">
      <c r="A185" s="20" t="s">
        <v>192</v>
      </c>
      <c r="B185" s="24">
        <f>((((B137)+(B149))+(B161))+(B172))+(B184)</f>
        <v>157819.74999999997</v>
      </c>
      <c r="C185" s="24">
        <f>((((C137)+(C149))+(C161))+(C172))+(C184)</f>
        <v>174234</v>
      </c>
      <c r="D185" s="24">
        <f t="shared" si="6"/>
        <v>-16414.250000000029</v>
      </c>
      <c r="E185" s="25">
        <f t="shared" si="7"/>
        <v>0.90579192350517101</v>
      </c>
    </row>
    <row r="186" spans="1:7" x14ac:dyDescent="0.25">
      <c r="A186" s="20" t="s">
        <v>193</v>
      </c>
      <c r="B186" s="22">
        <f>7387.09</f>
        <v>7387.09</v>
      </c>
      <c r="C186" s="22">
        <f>8000</f>
        <v>8000</v>
      </c>
      <c r="D186" s="22">
        <f t="shared" si="6"/>
        <v>-612.90999999999985</v>
      </c>
      <c r="E186" s="23">
        <f t="shared" si="7"/>
        <v>0.92338624999999996</v>
      </c>
      <c r="F186" s="27">
        <v>8000</v>
      </c>
    </row>
    <row r="187" spans="1:7" x14ac:dyDescent="0.25">
      <c r="A187" s="20" t="s">
        <v>194</v>
      </c>
      <c r="B187" s="21"/>
      <c r="C187" s="21"/>
      <c r="D187" s="22">
        <f t="shared" si="6"/>
        <v>0</v>
      </c>
      <c r="E187" s="23" t="str">
        <f t="shared" si="7"/>
        <v/>
      </c>
    </row>
    <row r="188" spans="1:7" x14ac:dyDescent="0.25">
      <c r="A188" s="20" t="s">
        <v>195</v>
      </c>
      <c r="B188" s="22">
        <f>1321.29</f>
        <v>1321.29</v>
      </c>
      <c r="C188" s="22">
        <f>2000</f>
        <v>2000</v>
      </c>
      <c r="D188" s="22">
        <f t="shared" si="6"/>
        <v>-678.71</v>
      </c>
      <c r="E188" s="23">
        <f t="shared" si="7"/>
        <v>0.66064499999999993</v>
      </c>
      <c r="F188" s="27">
        <v>2000</v>
      </c>
    </row>
    <row r="189" spans="1:7" x14ac:dyDescent="0.25">
      <c r="A189" s="20" t="s">
        <v>196</v>
      </c>
      <c r="B189" s="22">
        <f>700</f>
        <v>700</v>
      </c>
      <c r="C189" s="22">
        <f>2800</f>
        <v>2800</v>
      </c>
      <c r="D189" s="22">
        <f t="shared" si="6"/>
        <v>-2100</v>
      </c>
      <c r="E189" s="23">
        <f t="shared" si="7"/>
        <v>0.25</v>
      </c>
      <c r="F189" s="27">
        <v>2800</v>
      </c>
    </row>
    <row r="190" spans="1:7" x14ac:dyDescent="0.25">
      <c r="A190" s="20" t="s">
        <v>197</v>
      </c>
      <c r="B190" s="22">
        <f>3174.72</f>
        <v>3174.72</v>
      </c>
      <c r="C190" s="22">
        <f>10000</f>
        <v>10000</v>
      </c>
      <c r="D190" s="22">
        <f t="shared" si="6"/>
        <v>-6825.2800000000007</v>
      </c>
      <c r="E190" s="23">
        <f t="shared" si="7"/>
        <v>0.31747199999999998</v>
      </c>
      <c r="F190" s="27">
        <v>10000</v>
      </c>
    </row>
    <row r="191" spans="1:7" x14ac:dyDescent="0.25">
      <c r="A191" s="20" t="s">
        <v>198</v>
      </c>
      <c r="B191" s="21"/>
      <c r="C191" s="22">
        <f>1500</f>
        <v>1500</v>
      </c>
      <c r="D191" s="22">
        <f t="shared" si="6"/>
        <v>-1500</v>
      </c>
      <c r="E191" s="23">
        <f t="shared" si="7"/>
        <v>0</v>
      </c>
      <c r="F191" s="27">
        <v>2500</v>
      </c>
    </row>
    <row r="192" spans="1:7" x14ac:dyDescent="0.25">
      <c r="A192" s="20" t="s">
        <v>199</v>
      </c>
      <c r="B192" s="21"/>
      <c r="C192" s="22">
        <f>1500</f>
        <v>1500</v>
      </c>
      <c r="D192" s="22">
        <f t="shared" si="6"/>
        <v>-1500</v>
      </c>
      <c r="E192" s="23">
        <f t="shared" si="7"/>
        <v>0</v>
      </c>
      <c r="F192" s="27">
        <v>1500</v>
      </c>
    </row>
    <row r="193" spans="1:7" x14ac:dyDescent="0.25">
      <c r="A193" s="20" t="s">
        <v>200</v>
      </c>
      <c r="B193" s="24">
        <f>(((((B187)+(B188))+(B189))+(B190))+(B191))+(B192)</f>
        <v>5196.01</v>
      </c>
      <c r="C193" s="24">
        <f>(((((C187)+(C188))+(C189))+(C190))+(C191))+(C192)</f>
        <v>17800</v>
      </c>
      <c r="D193" s="24">
        <f t="shared" si="6"/>
        <v>-12603.99</v>
      </c>
      <c r="E193" s="25">
        <f t="shared" si="7"/>
        <v>0.29191067415730337</v>
      </c>
    </row>
    <row r="194" spans="1:7" x14ac:dyDescent="0.25">
      <c r="A194" s="20" t="s">
        <v>201</v>
      </c>
      <c r="B194" s="21"/>
      <c r="C194" s="21"/>
      <c r="D194" s="22">
        <f t="shared" si="6"/>
        <v>0</v>
      </c>
      <c r="E194" s="23" t="str">
        <f t="shared" si="7"/>
        <v/>
      </c>
    </row>
    <row r="195" spans="1:7" x14ac:dyDescent="0.25">
      <c r="A195" s="20" t="s">
        <v>202</v>
      </c>
      <c r="B195" s="21"/>
      <c r="C195" s="21"/>
      <c r="D195" s="22">
        <f t="shared" si="6"/>
        <v>0</v>
      </c>
      <c r="E195" s="23" t="str">
        <f t="shared" si="7"/>
        <v/>
      </c>
    </row>
    <row r="196" spans="1:7" x14ac:dyDescent="0.25">
      <c r="A196" s="20" t="s">
        <v>203</v>
      </c>
      <c r="B196" s="21"/>
      <c r="C196" s="21"/>
      <c r="D196" s="22">
        <f t="shared" si="6"/>
        <v>0</v>
      </c>
      <c r="E196" s="23" t="str">
        <f t="shared" si="7"/>
        <v/>
      </c>
    </row>
    <row r="197" spans="1:7" x14ac:dyDescent="0.25">
      <c r="A197" s="20" t="s">
        <v>204</v>
      </c>
      <c r="B197" s="21"/>
      <c r="C197" s="22">
        <f>1200</f>
        <v>1200</v>
      </c>
      <c r="D197" s="22">
        <f t="shared" si="6"/>
        <v>-1200</v>
      </c>
      <c r="E197" s="23">
        <f t="shared" si="7"/>
        <v>0</v>
      </c>
      <c r="F197" s="27">
        <v>1200</v>
      </c>
    </row>
    <row r="198" spans="1:7" x14ac:dyDescent="0.25">
      <c r="A198" s="20" t="s">
        <v>205</v>
      </c>
      <c r="B198" s="22">
        <f>16975</f>
        <v>16975</v>
      </c>
      <c r="C198" s="22">
        <f>19000</f>
        <v>19000</v>
      </c>
      <c r="D198" s="22">
        <f t="shared" si="6"/>
        <v>-2025</v>
      </c>
      <c r="E198" s="23">
        <f t="shared" si="7"/>
        <v>0.89342105263157889</v>
      </c>
      <c r="F198" s="27">
        <v>18675</v>
      </c>
    </row>
    <row r="199" spans="1:7" x14ac:dyDescent="0.25">
      <c r="A199" s="20" t="s">
        <v>206</v>
      </c>
      <c r="B199" s="22">
        <v>0</v>
      </c>
      <c r="C199" s="22">
        <v>0</v>
      </c>
      <c r="D199" s="22">
        <f t="shared" si="6"/>
        <v>0</v>
      </c>
      <c r="E199" s="23" t="str">
        <f t="shared" si="7"/>
        <v/>
      </c>
      <c r="F199" s="27">
        <v>8000</v>
      </c>
    </row>
    <row r="200" spans="1:7" x14ac:dyDescent="0.25">
      <c r="A200" s="20" t="s">
        <v>207</v>
      </c>
      <c r="B200" s="22">
        <v>0</v>
      </c>
      <c r="C200" s="22">
        <v>0</v>
      </c>
      <c r="D200" s="22">
        <f t="shared" si="6"/>
        <v>0</v>
      </c>
      <c r="E200" s="23" t="str">
        <f t="shared" si="7"/>
        <v/>
      </c>
      <c r="F200" s="27">
        <v>500</v>
      </c>
    </row>
    <row r="201" spans="1:7" x14ac:dyDescent="0.25">
      <c r="A201" s="20" t="s">
        <v>208</v>
      </c>
      <c r="B201" s="22">
        <v>0</v>
      </c>
      <c r="C201" s="22">
        <v>0</v>
      </c>
      <c r="D201" s="22">
        <f t="shared" si="6"/>
        <v>0</v>
      </c>
      <c r="E201" s="23" t="str">
        <f t="shared" si="7"/>
        <v/>
      </c>
      <c r="F201" s="27">
        <v>3000</v>
      </c>
    </row>
    <row r="202" spans="1:7" x14ac:dyDescent="0.25">
      <c r="A202" s="20" t="s">
        <v>209</v>
      </c>
      <c r="B202" s="22">
        <v>0</v>
      </c>
      <c r="C202" s="22">
        <v>0</v>
      </c>
      <c r="D202" s="22">
        <f t="shared" si="6"/>
        <v>0</v>
      </c>
      <c r="E202" s="23" t="str">
        <f t="shared" si="7"/>
        <v/>
      </c>
      <c r="F202" s="27">
        <v>8000</v>
      </c>
    </row>
    <row r="203" spans="1:7" x14ac:dyDescent="0.25">
      <c r="A203" s="20" t="s">
        <v>210</v>
      </c>
      <c r="B203" s="21">
        <v>0</v>
      </c>
      <c r="C203" s="22">
        <v>0</v>
      </c>
      <c r="D203" s="22">
        <f t="shared" si="6"/>
        <v>0</v>
      </c>
      <c r="E203" s="23" t="str">
        <f t="shared" si="7"/>
        <v/>
      </c>
      <c r="F203" s="27">
        <v>625</v>
      </c>
      <c r="G203" t="s">
        <v>211</v>
      </c>
    </row>
    <row r="204" spans="1:7" x14ac:dyDescent="0.25">
      <c r="A204" s="20" t="s">
        <v>212</v>
      </c>
      <c r="B204" s="22">
        <f>706.52</f>
        <v>706.52</v>
      </c>
      <c r="C204" s="22">
        <v>300</v>
      </c>
      <c r="D204" s="22">
        <f t="shared" si="6"/>
        <v>406.52</v>
      </c>
      <c r="E204" s="23">
        <f t="shared" si="7"/>
        <v>2.3550666666666666</v>
      </c>
      <c r="F204" s="27">
        <v>800</v>
      </c>
    </row>
    <row r="205" spans="1:7" x14ac:dyDescent="0.25">
      <c r="A205" s="20" t="s">
        <v>213</v>
      </c>
      <c r="B205" s="24">
        <f>(((B196)+(B197))+(B198))+(B204)</f>
        <v>17681.52</v>
      </c>
      <c r="C205" s="24">
        <f>(((C196)+(C197))+(C198))+(C204)</f>
        <v>20500</v>
      </c>
      <c r="D205" s="24">
        <f t="shared" si="6"/>
        <v>-2818.4799999999996</v>
      </c>
      <c r="E205" s="25">
        <f t="shared" si="7"/>
        <v>0.8625131707317073</v>
      </c>
      <c r="G205" s="12">
        <f>SUM(F197:F204)</f>
        <v>40800</v>
      </c>
    </row>
    <row r="206" spans="1:7" x14ac:dyDescent="0.25">
      <c r="A206" s="20" t="s">
        <v>214</v>
      </c>
      <c r="B206" s="21"/>
      <c r="C206" s="21"/>
      <c r="D206" s="22">
        <f t="shared" si="6"/>
        <v>0</v>
      </c>
      <c r="E206" s="23" t="str">
        <f t="shared" si="7"/>
        <v/>
      </c>
    </row>
    <row r="207" spans="1:7" x14ac:dyDescent="0.25">
      <c r="A207" s="20" t="s">
        <v>215</v>
      </c>
      <c r="B207" s="21"/>
      <c r="C207" s="22">
        <f>300</f>
        <v>300</v>
      </c>
      <c r="D207" s="22">
        <f t="shared" ref="D207:D270" si="8">(B207)-(C207)</f>
        <v>-300</v>
      </c>
      <c r="E207" s="23">
        <f t="shared" ref="E207:E270" si="9">IF(C207=0,"",(B207)/(C207))</f>
        <v>0</v>
      </c>
      <c r="F207" s="27">
        <v>300</v>
      </c>
    </row>
    <row r="208" spans="1:7" x14ac:dyDescent="0.25">
      <c r="A208" s="20" t="s">
        <v>216</v>
      </c>
      <c r="B208" s="21"/>
      <c r="C208" s="22">
        <f>4836</f>
        <v>4836</v>
      </c>
      <c r="D208" s="22">
        <f t="shared" si="8"/>
        <v>-4836</v>
      </c>
      <c r="E208" s="23">
        <f t="shared" si="9"/>
        <v>0</v>
      </c>
      <c r="F208" s="27">
        <v>2860</v>
      </c>
    </row>
    <row r="209" spans="1:7" x14ac:dyDescent="0.25">
      <c r="A209" s="20" t="s">
        <v>217</v>
      </c>
      <c r="B209" s="21"/>
      <c r="C209" s="22">
        <f>300</f>
        <v>300</v>
      </c>
      <c r="D209" s="22">
        <f t="shared" si="8"/>
        <v>-300</v>
      </c>
      <c r="E209" s="23">
        <f t="shared" si="9"/>
        <v>0</v>
      </c>
      <c r="F209" s="27">
        <v>300</v>
      </c>
    </row>
    <row r="210" spans="1:7" x14ac:dyDescent="0.25">
      <c r="A210" s="20" t="s">
        <v>218</v>
      </c>
      <c r="B210" s="21"/>
      <c r="C210" s="22">
        <f>375</f>
        <v>375</v>
      </c>
      <c r="D210" s="22">
        <f t="shared" si="8"/>
        <v>-375</v>
      </c>
      <c r="E210" s="23">
        <f t="shared" si="9"/>
        <v>0</v>
      </c>
      <c r="F210" s="27">
        <v>375</v>
      </c>
    </row>
    <row r="211" spans="1:7" x14ac:dyDescent="0.25">
      <c r="A211" s="20" t="s">
        <v>219</v>
      </c>
      <c r="B211" s="21"/>
      <c r="C211" s="22">
        <f>750</f>
        <v>750</v>
      </c>
      <c r="D211" s="22">
        <f t="shared" si="8"/>
        <v>-750</v>
      </c>
      <c r="E211" s="23">
        <f t="shared" si="9"/>
        <v>0</v>
      </c>
      <c r="F211" s="27">
        <v>750</v>
      </c>
    </row>
    <row r="212" spans="1:7" x14ac:dyDescent="0.25">
      <c r="A212" s="20" t="s">
        <v>220</v>
      </c>
      <c r="B212" s="24">
        <f>(((((B206)+(B207))+(B208))+(B209))+(B210))+(B211)</f>
        <v>0</v>
      </c>
      <c r="C212" s="24">
        <f>(((((C206)+(C207))+(C208))+(C209))+(C210))+(C211)</f>
        <v>6561</v>
      </c>
      <c r="D212" s="24">
        <f t="shared" si="8"/>
        <v>-6561</v>
      </c>
      <c r="E212" s="25">
        <f t="shared" si="9"/>
        <v>0</v>
      </c>
      <c r="G212" s="12">
        <f>SUM(F207:F211)</f>
        <v>4585</v>
      </c>
    </row>
    <row r="213" spans="1:7" x14ac:dyDescent="0.25">
      <c r="A213" s="20" t="s">
        <v>221</v>
      </c>
      <c r="B213" s="24">
        <f>((B195)+(B205))+(B212)</f>
        <v>17681.52</v>
      </c>
      <c r="C213" s="24">
        <f>((C195)+(C205))+(C212)</f>
        <v>27061</v>
      </c>
      <c r="D213" s="24">
        <f t="shared" si="8"/>
        <v>-9379.48</v>
      </c>
      <c r="E213" s="25">
        <f t="shared" si="9"/>
        <v>0.65339492258231402</v>
      </c>
    </row>
    <row r="214" spans="1:7" x14ac:dyDescent="0.25">
      <c r="A214" s="20" t="s">
        <v>222</v>
      </c>
      <c r="B214" s="21"/>
      <c r="C214" s="21"/>
      <c r="D214" s="22">
        <f t="shared" si="8"/>
        <v>0</v>
      </c>
      <c r="E214" s="23" t="str">
        <f t="shared" si="9"/>
        <v/>
      </c>
    </row>
    <row r="215" spans="1:7" x14ac:dyDescent="0.25">
      <c r="A215" s="20" t="s">
        <v>223</v>
      </c>
      <c r="B215" s="22">
        <f>6558.35</f>
        <v>6558.35</v>
      </c>
      <c r="C215" s="22">
        <f>5400</f>
        <v>5400</v>
      </c>
      <c r="D215" s="22">
        <f t="shared" si="8"/>
        <v>1158.3500000000004</v>
      </c>
      <c r="E215" s="23">
        <f t="shared" si="9"/>
        <v>1.2145092592592592</v>
      </c>
      <c r="F215" s="27">
        <v>6600</v>
      </c>
    </row>
    <row r="216" spans="1:7" x14ac:dyDescent="0.25">
      <c r="A216" s="20" t="s">
        <v>224</v>
      </c>
      <c r="B216" s="22">
        <f>8926.68</f>
        <v>8926.68</v>
      </c>
      <c r="C216" s="22">
        <f>16484</f>
        <v>16484</v>
      </c>
      <c r="D216" s="22">
        <f t="shared" si="8"/>
        <v>-7557.32</v>
      </c>
      <c r="E216" s="23">
        <f t="shared" si="9"/>
        <v>0.54153603494297498</v>
      </c>
      <c r="F216" s="27">
        <v>5420</v>
      </c>
      <c r="G216" t="s">
        <v>225</v>
      </c>
    </row>
    <row r="217" spans="1:7" x14ac:dyDescent="0.25">
      <c r="A217" s="20" t="s">
        <v>226</v>
      </c>
      <c r="B217" s="22">
        <f>6213</f>
        <v>6213</v>
      </c>
      <c r="C217" s="22">
        <f>17000</f>
        <v>17000</v>
      </c>
      <c r="D217" s="22">
        <f t="shared" si="8"/>
        <v>-10787</v>
      </c>
      <c r="E217" s="23">
        <f t="shared" si="9"/>
        <v>0.3654705882352941</v>
      </c>
      <c r="F217" s="27">
        <v>7500</v>
      </c>
    </row>
    <row r="218" spans="1:7" x14ac:dyDescent="0.25">
      <c r="A218" s="20" t="s">
        <v>227</v>
      </c>
      <c r="B218" s="22">
        <f>500</f>
        <v>500</v>
      </c>
      <c r="C218" s="22">
        <f>750</f>
        <v>750</v>
      </c>
      <c r="D218" s="22">
        <f t="shared" si="8"/>
        <v>-250</v>
      </c>
      <c r="E218" s="23">
        <f t="shared" si="9"/>
        <v>0.66666666666666663</v>
      </c>
      <c r="F218" s="27">
        <v>500</v>
      </c>
    </row>
    <row r="219" spans="1:7" x14ac:dyDescent="0.25">
      <c r="A219" s="20" t="s">
        <v>228</v>
      </c>
      <c r="B219" s="21"/>
      <c r="C219" s="22">
        <f>300</f>
        <v>300</v>
      </c>
      <c r="D219" s="22">
        <f t="shared" si="8"/>
        <v>-300</v>
      </c>
      <c r="E219" s="23">
        <f t="shared" si="9"/>
        <v>0</v>
      </c>
      <c r="F219" s="27">
        <v>300</v>
      </c>
    </row>
    <row r="220" spans="1:7" x14ac:dyDescent="0.25">
      <c r="A220" s="20" t="s">
        <v>229</v>
      </c>
      <c r="B220" s="22">
        <f>3000</f>
        <v>3000</v>
      </c>
      <c r="C220" s="22">
        <f>3000</f>
        <v>3000</v>
      </c>
      <c r="D220" s="22">
        <f t="shared" si="8"/>
        <v>0</v>
      </c>
      <c r="E220" s="23">
        <f t="shared" si="9"/>
        <v>1</v>
      </c>
      <c r="F220" s="27">
        <v>3000</v>
      </c>
    </row>
    <row r="221" spans="1:7" x14ac:dyDescent="0.25">
      <c r="A221" s="20" t="s">
        <v>230</v>
      </c>
      <c r="B221" s="22">
        <f>7000</f>
        <v>7000</v>
      </c>
      <c r="C221" s="22">
        <f>8000</f>
        <v>8000</v>
      </c>
      <c r="D221" s="22">
        <f t="shared" si="8"/>
        <v>-1000</v>
      </c>
      <c r="E221" s="23">
        <f t="shared" si="9"/>
        <v>0.875</v>
      </c>
      <c r="F221" s="27">
        <v>8000</v>
      </c>
    </row>
    <row r="222" spans="1:7" x14ac:dyDescent="0.25">
      <c r="A222" s="20" t="s">
        <v>231</v>
      </c>
      <c r="B222" s="21"/>
      <c r="C222" s="22">
        <f>1400</f>
        <v>1400</v>
      </c>
      <c r="D222" s="22">
        <f t="shared" si="8"/>
        <v>-1400</v>
      </c>
      <c r="E222" s="23">
        <f t="shared" si="9"/>
        <v>0</v>
      </c>
      <c r="F222" s="27">
        <v>700</v>
      </c>
    </row>
    <row r="223" spans="1:7" x14ac:dyDescent="0.25">
      <c r="A223" s="20" t="s">
        <v>232</v>
      </c>
      <c r="B223" s="24">
        <f>((((((((B214)+(B215))+(B216))+(B217))+(B218))+(B219))+(B220))+(B221))+(B222)</f>
        <v>32198.03</v>
      </c>
      <c r="C223" s="24">
        <f>((((((((C214)+(C215))+(C216))+(C217))+(C218))+(C219))+(C220))+(C221))+(C222)</f>
        <v>52334</v>
      </c>
      <c r="D223" s="24">
        <f t="shared" si="8"/>
        <v>-20135.97</v>
      </c>
      <c r="E223" s="25">
        <f t="shared" si="9"/>
        <v>0.61524114342492453</v>
      </c>
      <c r="G223" s="12">
        <f>SUM(F215:F222)</f>
        <v>32020</v>
      </c>
    </row>
    <row r="224" spans="1:7" x14ac:dyDescent="0.25">
      <c r="A224" s="20" t="s">
        <v>233</v>
      </c>
      <c r="B224" s="21"/>
      <c r="C224" s="21"/>
      <c r="D224" s="22">
        <f t="shared" si="8"/>
        <v>0</v>
      </c>
      <c r="E224" s="23" t="str">
        <f t="shared" si="9"/>
        <v/>
      </c>
    </row>
    <row r="225" spans="1:7" x14ac:dyDescent="0.25">
      <c r="A225" s="20" t="s">
        <v>234</v>
      </c>
      <c r="B225" s="21"/>
      <c r="C225" s="22">
        <f>500</f>
        <v>500</v>
      </c>
      <c r="D225" s="22">
        <f t="shared" si="8"/>
        <v>-500</v>
      </c>
      <c r="E225" s="23">
        <f t="shared" si="9"/>
        <v>0</v>
      </c>
      <c r="F225" s="27">
        <v>1000</v>
      </c>
    </row>
    <row r="226" spans="1:7" x14ac:dyDescent="0.25">
      <c r="A226" s="20" t="s">
        <v>235</v>
      </c>
      <c r="B226" s="22">
        <f>994.08</f>
        <v>994.08</v>
      </c>
      <c r="C226" s="22">
        <f>2200</f>
        <v>2200</v>
      </c>
      <c r="D226" s="22">
        <f t="shared" si="8"/>
        <v>-1205.92</v>
      </c>
      <c r="E226" s="23">
        <f t="shared" si="9"/>
        <v>0.45185454545454545</v>
      </c>
      <c r="F226" s="27">
        <v>4400</v>
      </c>
    </row>
    <row r="227" spans="1:7" x14ac:dyDescent="0.25">
      <c r="A227" s="20" t="s">
        <v>236</v>
      </c>
      <c r="B227" s="21"/>
      <c r="C227" s="22">
        <f>1600</f>
        <v>1600</v>
      </c>
      <c r="D227" s="22">
        <f t="shared" si="8"/>
        <v>-1600</v>
      </c>
      <c r="E227" s="23">
        <f t="shared" si="9"/>
        <v>0</v>
      </c>
      <c r="F227" s="27">
        <v>3200</v>
      </c>
    </row>
    <row r="228" spans="1:7" x14ac:dyDescent="0.25">
      <c r="A228" s="20" t="s">
        <v>237</v>
      </c>
      <c r="B228" s="22">
        <f>3152.9</f>
        <v>3152.9</v>
      </c>
      <c r="C228" s="22">
        <f>1850</f>
        <v>1850</v>
      </c>
      <c r="D228" s="22">
        <f t="shared" si="8"/>
        <v>1302.9000000000001</v>
      </c>
      <c r="E228" s="23">
        <f t="shared" si="9"/>
        <v>1.7042702702702703</v>
      </c>
      <c r="F228" s="27">
        <v>7000</v>
      </c>
    </row>
    <row r="229" spans="1:7" x14ac:dyDescent="0.25">
      <c r="A229" s="20" t="s">
        <v>238</v>
      </c>
      <c r="B229" s="22">
        <f>3798.48</f>
        <v>3798.48</v>
      </c>
      <c r="C229" s="22">
        <f>9000</f>
        <v>9000</v>
      </c>
      <c r="D229" s="22">
        <f t="shared" si="8"/>
        <v>-5201.5200000000004</v>
      </c>
      <c r="E229" s="23">
        <f t="shared" si="9"/>
        <v>0.42205333333333334</v>
      </c>
      <c r="F229" s="27">
        <v>7600</v>
      </c>
    </row>
    <row r="230" spans="1:7" x14ac:dyDescent="0.25">
      <c r="A230" s="20" t="s">
        <v>239</v>
      </c>
      <c r="B230" s="22">
        <f>200</f>
        <v>200</v>
      </c>
      <c r="C230" s="22">
        <f>3900</f>
        <v>3900</v>
      </c>
      <c r="D230" s="22">
        <f t="shared" si="8"/>
        <v>-3700</v>
      </c>
      <c r="E230" s="23">
        <f t="shared" si="9"/>
        <v>5.128205128205128E-2</v>
      </c>
      <c r="F230" s="27">
        <v>800</v>
      </c>
    </row>
    <row r="231" spans="1:7" x14ac:dyDescent="0.25">
      <c r="A231" s="20" t="s">
        <v>240</v>
      </c>
      <c r="B231" s="21"/>
      <c r="C231" s="22">
        <f>1800</f>
        <v>1800</v>
      </c>
      <c r="D231" s="22">
        <f t="shared" si="8"/>
        <v>-1800</v>
      </c>
      <c r="E231" s="23">
        <f t="shared" si="9"/>
        <v>0</v>
      </c>
      <c r="F231" s="27">
        <v>1000</v>
      </c>
    </row>
    <row r="232" spans="1:7" x14ac:dyDescent="0.25">
      <c r="A232" s="20" t="s">
        <v>241</v>
      </c>
      <c r="B232" s="22">
        <f>19263.51</f>
        <v>19263.509999999998</v>
      </c>
      <c r="C232" s="22">
        <f>12150</f>
        <v>12150</v>
      </c>
      <c r="D232" s="22">
        <f t="shared" si="8"/>
        <v>7113.5099999999984</v>
      </c>
      <c r="E232" s="23">
        <f t="shared" si="9"/>
        <v>1.585474074074074</v>
      </c>
      <c r="F232" s="27">
        <v>41000</v>
      </c>
    </row>
    <row r="233" spans="1:7" x14ac:dyDescent="0.25">
      <c r="A233" s="20" t="s">
        <v>242</v>
      </c>
      <c r="B233" s="24">
        <f>((((((((B224)+(B225))+(B226))+(B227))+(B228))+(B229))+(B230))+(B231))+(B232)</f>
        <v>27408.97</v>
      </c>
      <c r="C233" s="24">
        <f>((((((((C224)+(C225))+(C226))+(C227))+(C228))+(C229))+(C230))+(C231))+(C232)</f>
        <v>33000</v>
      </c>
      <c r="D233" s="24">
        <f t="shared" si="8"/>
        <v>-5591.0299999999988</v>
      </c>
      <c r="E233" s="25">
        <f t="shared" si="9"/>
        <v>0.83057484848484853</v>
      </c>
      <c r="G233" s="12">
        <f>SUM(F225:F232)</f>
        <v>66000</v>
      </c>
    </row>
    <row r="234" spans="1:7" x14ac:dyDescent="0.25">
      <c r="A234" s="20" t="s">
        <v>243</v>
      </c>
      <c r="B234" s="21"/>
      <c r="C234" s="21"/>
      <c r="D234" s="22">
        <f t="shared" si="8"/>
        <v>0</v>
      </c>
      <c r="E234" s="23" t="str">
        <f t="shared" si="9"/>
        <v/>
      </c>
    </row>
    <row r="235" spans="1:7" x14ac:dyDescent="0.25">
      <c r="A235" s="20" t="s">
        <v>244</v>
      </c>
      <c r="B235" s="21"/>
      <c r="C235" s="22">
        <f>120</f>
        <v>120</v>
      </c>
      <c r="D235" s="22">
        <f t="shared" si="8"/>
        <v>-120</v>
      </c>
      <c r="E235" s="23">
        <f t="shared" si="9"/>
        <v>0</v>
      </c>
      <c r="F235" s="27">
        <v>120</v>
      </c>
    </row>
    <row r="236" spans="1:7" x14ac:dyDescent="0.25">
      <c r="A236" s="20" t="s">
        <v>245</v>
      </c>
      <c r="B236" s="22">
        <f>300</f>
        <v>300</v>
      </c>
      <c r="C236" s="22">
        <f>200</f>
        <v>200</v>
      </c>
      <c r="D236" s="22">
        <f t="shared" si="8"/>
        <v>100</v>
      </c>
      <c r="E236" s="23">
        <f t="shared" si="9"/>
        <v>1.5</v>
      </c>
      <c r="F236" s="27">
        <v>300</v>
      </c>
    </row>
    <row r="237" spans="1:7" x14ac:dyDescent="0.25">
      <c r="A237" s="20" t="s">
        <v>246</v>
      </c>
      <c r="B237" s="21"/>
      <c r="C237" s="21"/>
      <c r="D237" s="22">
        <f t="shared" si="8"/>
        <v>0</v>
      </c>
      <c r="E237" s="23" t="str">
        <f t="shared" si="9"/>
        <v/>
      </c>
    </row>
    <row r="238" spans="1:7" x14ac:dyDescent="0.25">
      <c r="A238" s="20" t="s">
        <v>247</v>
      </c>
      <c r="B238" s="22">
        <f>750</f>
        <v>750</v>
      </c>
      <c r="C238" s="22">
        <f>750</f>
        <v>750</v>
      </c>
      <c r="D238" s="22">
        <f t="shared" si="8"/>
        <v>0</v>
      </c>
      <c r="E238" s="23">
        <f t="shared" si="9"/>
        <v>1</v>
      </c>
      <c r="F238" s="27">
        <v>750</v>
      </c>
    </row>
    <row r="239" spans="1:7" x14ac:dyDescent="0.25">
      <c r="A239" s="20" t="s">
        <v>248</v>
      </c>
      <c r="B239" s="22">
        <f>1200</f>
        <v>1200</v>
      </c>
      <c r="C239" s="22">
        <f>1325</f>
        <v>1325</v>
      </c>
      <c r="D239" s="22">
        <f t="shared" si="8"/>
        <v>-125</v>
      </c>
      <c r="E239" s="23">
        <f t="shared" si="9"/>
        <v>0.90566037735849059</v>
      </c>
      <c r="F239" s="27">
        <v>1325</v>
      </c>
    </row>
    <row r="240" spans="1:7" x14ac:dyDescent="0.25">
      <c r="A240" s="20" t="s">
        <v>249</v>
      </c>
      <c r="B240" s="22">
        <f>17000</f>
        <v>17000</v>
      </c>
      <c r="C240" s="22">
        <f>20748</f>
        <v>20748</v>
      </c>
      <c r="D240" s="22">
        <f t="shared" si="8"/>
        <v>-3748</v>
      </c>
      <c r="E240" s="23">
        <f t="shared" si="9"/>
        <v>0.81935608251397729</v>
      </c>
      <c r="F240" s="27">
        <v>18700</v>
      </c>
    </row>
    <row r="241" spans="1:7" x14ac:dyDescent="0.25">
      <c r="A241" s="20" t="s">
        <v>250</v>
      </c>
      <c r="B241" s="22">
        <f>1363.84</f>
        <v>1363.84</v>
      </c>
      <c r="C241" s="22">
        <f>1700</f>
        <v>1700</v>
      </c>
      <c r="D241" s="22">
        <f t="shared" si="8"/>
        <v>-336.16000000000008</v>
      </c>
      <c r="E241" s="23">
        <f t="shared" si="9"/>
        <v>0.80225882352941169</v>
      </c>
      <c r="F241" s="27">
        <v>1400</v>
      </c>
    </row>
    <row r="242" spans="1:7" x14ac:dyDescent="0.25">
      <c r="A242" s="20" t="s">
        <v>251</v>
      </c>
      <c r="B242" s="22">
        <f>150</f>
        <v>150</v>
      </c>
      <c r="C242" s="22">
        <f>150</f>
        <v>150</v>
      </c>
      <c r="D242" s="22">
        <f t="shared" si="8"/>
        <v>0</v>
      </c>
      <c r="E242" s="23">
        <f t="shared" si="9"/>
        <v>1</v>
      </c>
      <c r="F242" s="27">
        <v>150</v>
      </c>
    </row>
    <row r="243" spans="1:7" ht="23.25" customHeight="1" x14ac:dyDescent="0.25">
      <c r="A243" s="20" t="s">
        <v>252</v>
      </c>
      <c r="B243" s="22">
        <f>3350</f>
        <v>3350</v>
      </c>
      <c r="C243" s="22">
        <f>3200</f>
        <v>3200</v>
      </c>
      <c r="D243" s="22">
        <f t="shared" si="8"/>
        <v>150</v>
      </c>
      <c r="E243" s="23">
        <f t="shared" si="9"/>
        <v>1.046875</v>
      </c>
      <c r="F243" s="27">
        <v>3350</v>
      </c>
    </row>
    <row r="244" spans="1:7" x14ac:dyDescent="0.25">
      <c r="A244" s="20" t="s">
        <v>253</v>
      </c>
      <c r="B244" s="22">
        <f>762.21</f>
        <v>762.21</v>
      </c>
      <c r="C244" s="22">
        <f>750</f>
        <v>750</v>
      </c>
      <c r="D244" s="22">
        <f t="shared" si="8"/>
        <v>12.210000000000036</v>
      </c>
      <c r="E244" s="23">
        <f t="shared" si="9"/>
        <v>1.0162800000000001</v>
      </c>
      <c r="F244" s="27">
        <v>800</v>
      </c>
    </row>
    <row r="245" spans="1:7" x14ac:dyDescent="0.25">
      <c r="A245" s="20" t="s">
        <v>254</v>
      </c>
      <c r="B245" s="24">
        <f>(((((((B237)+(B238))+(B239))+(B240))+(B241))+(B242))+(B243))+(B244)</f>
        <v>24576.05</v>
      </c>
      <c r="C245" s="24">
        <f>(((((((C237)+(C238))+(C239))+(C240))+(C241))+(C242))+(C243))+(C244)</f>
        <v>28623</v>
      </c>
      <c r="D245" s="24">
        <f t="shared" si="8"/>
        <v>-4046.9500000000007</v>
      </c>
      <c r="E245" s="25">
        <f t="shared" si="9"/>
        <v>0.85861195542046609</v>
      </c>
      <c r="G245" s="12">
        <f>SUM(F235:F244)</f>
        <v>26895</v>
      </c>
    </row>
    <row r="246" spans="1:7" x14ac:dyDescent="0.25">
      <c r="A246" s="20" t="s">
        <v>255</v>
      </c>
      <c r="B246" s="21"/>
      <c r="C246" s="21"/>
      <c r="D246" s="22">
        <f t="shared" si="8"/>
        <v>0</v>
      </c>
      <c r="E246" s="23" t="str">
        <f t="shared" si="9"/>
        <v/>
      </c>
    </row>
    <row r="247" spans="1:7" x14ac:dyDescent="0.25">
      <c r="A247" s="20" t="s">
        <v>256</v>
      </c>
      <c r="B247" s="22">
        <f>225</f>
        <v>225</v>
      </c>
      <c r="C247" s="22">
        <f>225</f>
        <v>225</v>
      </c>
      <c r="D247" s="22">
        <f t="shared" si="8"/>
        <v>0</v>
      </c>
      <c r="E247" s="23">
        <f t="shared" si="9"/>
        <v>1</v>
      </c>
      <c r="F247" s="27">
        <v>225</v>
      </c>
    </row>
    <row r="248" spans="1:7" x14ac:dyDescent="0.25">
      <c r="A248" s="20" t="s">
        <v>257</v>
      </c>
      <c r="B248" s="22">
        <f>2800</f>
        <v>2800</v>
      </c>
      <c r="C248" s="22">
        <f>5252</f>
        <v>5252</v>
      </c>
      <c r="D248" s="22">
        <f t="shared" si="8"/>
        <v>-2452</v>
      </c>
      <c r="E248" s="23">
        <f t="shared" si="9"/>
        <v>0.53313023610053312</v>
      </c>
      <c r="F248" s="27">
        <v>3080</v>
      </c>
    </row>
    <row r="249" spans="1:7" x14ac:dyDescent="0.25">
      <c r="A249" s="20" t="s">
        <v>258</v>
      </c>
      <c r="B249" s="22">
        <f>750</f>
        <v>750</v>
      </c>
      <c r="C249" s="22">
        <f>766</f>
        <v>766</v>
      </c>
      <c r="D249" s="22">
        <f t="shared" si="8"/>
        <v>-16</v>
      </c>
      <c r="E249" s="23">
        <f t="shared" si="9"/>
        <v>0.97911227154046998</v>
      </c>
      <c r="F249" s="27">
        <v>750</v>
      </c>
    </row>
    <row r="250" spans="1:7" x14ac:dyDescent="0.25">
      <c r="A250" s="20" t="s">
        <v>259</v>
      </c>
      <c r="B250" s="22">
        <f>150</f>
        <v>150</v>
      </c>
      <c r="C250" s="22">
        <f>150</f>
        <v>150</v>
      </c>
      <c r="D250" s="22">
        <f t="shared" si="8"/>
        <v>0</v>
      </c>
      <c r="E250" s="23">
        <f t="shared" si="9"/>
        <v>1</v>
      </c>
      <c r="F250" s="27">
        <v>150</v>
      </c>
    </row>
    <row r="251" spans="1:7" x14ac:dyDescent="0.25">
      <c r="A251" s="20" t="s">
        <v>260</v>
      </c>
      <c r="B251" s="22">
        <f>775</f>
        <v>775</v>
      </c>
      <c r="C251" s="22">
        <f>775</f>
        <v>775</v>
      </c>
      <c r="D251" s="22">
        <f t="shared" si="8"/>
        <v>0</v>
      </c>
      <c r="E251" s="23">
        <f t="shared" si="9"/>
        <v>1</v>
      </c>
      <c r="F251" s="27">
        <v>775</v>
      </c>
    </row>
    <row r="252" spans="1:7" x14ac:dyDescent="0.25">
      <c r="A252" s="20" t="s">
        <v>261</v>
      </c>
      <c r="B252" s="22">
        <f>850</f>
        <v>850</v>
      </c>
      <c r="C252" s="22">
        <f>750</f>
        <v>750</v>
      </c>
      <c r="D252" s="22">
        <f t="shared" si="8"/>
        <v>100</v>
      </c>
      <c r="E252" s="23">
        <f t="shared" si="9"/>
        <v>1.1333333333333333</v>
      </c>
      <c r="F252" s="27">
        <v>800</v>
      </c>
    </row>
    <row r="253" spans="1:7" x14ac:dyDescent="0.25">
      <c r="A253" s="20" t="s">
        <v>262</v>
      </c>
      <c r="B253" s="24">
        <f>((((((B246)+(B247))+(B248))+(B249))+(B250))+(B251))+(B252)</f>
        <v>5550</v>
      </c>
      <c r="C253" s="24">
        <f>((((((C246)+(C247))+(C248))+(C249))+(C250))+(C251))+(C252)</f>
        <v>7918</v>
      </c>
      <c r="D253" s="24">
        <f t="shared" si="8"/>
        <v>-2368</v>
      </c>
      <c r="E253" s="25">
        <f t="shared" si="9"/>
        <v>0.7009345794392523</v>
      </c>
      <c r="G253" s="12">
        <f>SUM(F247:F252)</f>
        <v>5780</v>
      </c>
    </row>
    <row r="254" spans="1:7" x14ac:dyDescent="0.25">
      <c r="A254" s="20" t="s">
        <v>263</v>
      </c>
      <c r="B254" s="24">
        <f>((((B234)+(B235))+(B236))+(B245))+(B253)</f>
        <v>30426.05</v>
      </c>
      <c r="C254" s="24">
        <f>((((C234)+(C235))+(C236))+(C245))+(C253)</f>
        <v>36861</v>
      </c>
      <c r="D254" s="24">
        <f t="shared" si="8"/>
        <v>-6434.9500000000007</v>
      </c>
      <c r="E254" s="25">
        <f t="shared" si="9"/>
        <v>0.82542660264235912</v>
      </c>
    </row>
    <row r="255" spans="1:7" x14ac:dyDescent="0.25">
      <c r="A255" s="20" t="s">
        <v>264</v>
      </c>
      <c r="B255" s="21"/>
      <c r="C255" s="21"/>
      <c r="D255" s="22">
        <f t="shared" si="8"/>
        <v>0</v>
      </c>
      <c r="E255" s="23" t="str">
        <f t="shared" si="9"/>
        <v/>
      </c>
    </row>
    <row r="256" spans="1:7" x14ac:dyDescent="0.25">
      <c r="A256" s="20" t="s">
        <v>265</v>
      </c>
      <c r="B256" s="21"/>
      <c r="C256" s="21"/>
      <c r="D256" s="22">
        <f t="shared" si="8"/>
        <v>0</v>
      </c>
      <c r="E256" s="23" t="str">
        <f t="shared" si="9"/>
        <v/>
      </c>
    </row>
    <row r="257" spans="1:7" x14ac:dyDescent="0.25">
      <c r="A257" s="20" t="s">
        <v>266</v>
      </c>
      <c r="B257" s="22">
        <f>6558.35</f>
        <v>6558.35</v>
      </c>
      <c r="C257" s="22">
        <f>3200</f>
        <v>3200</v>
      </c>
      <c r="D257" s="22">
        <f t="shared" si="8"/>
        <v>3358.3500000000004</v>
      </c>
      <c r="E257" s="23">
        <f t="shared" si="9"/>
        <v>2.049484375</v>
      </c>
      <c r="F257" s="27">
        <v>6600</v>
      </c>
    </row>
    <row r="258" spans="1:7" x14ac:dyDescent="0.25">
      <c r="A258" s="20" t="s">
        <v>267</v>
      </c>
      <c r="B258" s="21"/>
      <c r="C258" s="22">
        <f>600</f>
        <v>600</v>
      </c>
      <c r="D258" s="22">
        <f t="shared" si="8"/>
        <v>-600</v>
      </c>
      <c r="E258" s="23">
        <f t="shared" si="9"/>
        <v>0</v>
      </c>
      <c r="F258" s="27">
        <v>600</v>
      </c>
    </row>
    <row r="259" spans="1:7" x14ac:dyDescent="0.25">
      <c r="A259" s="20" t="s">
        <v>268</v>
      </c>
      <c r="B259" s="22">
        <f>4920</f>
        <v>4920</v>
      </c>
      <c r="C259" s="22">
        <f>7956</f>
        <v>7956</v>
      </c>
      <c r="D259" s="22">
        <f t="shared" si="8"/>
        <v>-3036</v>
      </c>
      <c r="E259" s="23">
        <f t="shared" si="9"/>
        <v>0.61840120663650078</v>
      </c>
      <c r="F259" s="27">
        <v>5420</v>
      </c>
    </row>
    <row r="260" spans="1:7" x14ac:dyDescent="0.25">
      <c r="A260" s="20" t="s">
        <v>269</v>
      </c>
      <c r="B260" s="22">
        <f>5636.63</f>
        <v>5636.63</v>
      </c>
      <c r="C260" s="22">
        <f>7000</f>
        <v>7000</v>
      </c>
      <c r="D260" s="22">
        <f t="shared" si="8"/>
        <v>-1363.37</v>
      </c>
      <c r="E260" s="23">
        <f t="shared" si="9"/>
        <v>0.80523285714285719</v>
      </c>
      <c r="F260" s="27">
        <v>6000</v>
      </c>
    </row>
    <row r="261" spans="1:7" x14ac:dyDescent="0.25">
      <c r="A261" s="20" t="s">
        <v>270</v>
      </c>
      <c r="B261" s="21"/>
      <c r="C261" s="22">
        <f>300</f>
        <v>300</v>
      </c>
      <c r="D261" s="22">
        <f t="shared" si="8"/>
        <v>-300</v>
      </c>
      <c r="E261" s="23">
        <f t="shared" si="9"/>
        <v>0</v>
      </c>
      <c r="F261" s="27">
        <v>300</v>
      </c>
    </row>
    <row r="262" spans="1:7" x14ac:dyDescent="0.25">
      <c r="A262" s="20" t="s">
        <v>271</v>
      </c>
      <c r="B262" s="22">
        <f>687.6</f>
        <v>687.6</v>
      </c>
      <c r="C262" s="22">
        <f>750</f>
        <v>750</v>
      </c>
      <c r="D262" s="22">
        <f t="shared" si="8"/>
        <v>-62.399999999999977</v>
      </c>
      <c r="E262" s="23">
        <f t="shared" si="9"/>
        <v>0.91680000000000006</v>
      </c>
      <c r="F262" s="27">
        <v>750</v>
      </c>
    </row>
    <row r="263" spans="1:7" x14ac:dyDescent="0.25">
      <c r="A263" s="20" t="s">
        <v>272</v>
      </c>
      <c r="B263" s="21"/>
      <c r="C263" s="22">
        <f>200</f>
        <v>200</v>
      </c>
      <c r="D263" s="22">
        <f t="shared" si="8"/>
        <v>-200</v>
      </c>
      <c r="E263" s="23">
        <f t="shared" si="9"/>
        <v>0</v>
      </c>
      <c r="F263" s="27">
        <v>200</v>
      </c>
    </row>
    <row r="264" spans="1:7" x14ac:dyDescent="0.25">
      <c r="A264" s="20" t="s">
        <v>273</v>
      </c>
      <c r="B264" s="22">
        <f>1500</f>
        <v>1500</v>
      </c>
      <c r="C264" s="22">
        <f>1550</f>
        <v>1550</v>
      </c>
      <c r="D264" s="22">
        <f t="shared" si="8"/>
        <v>-50</v>
      </c>
      <c r="E264" s="23">
        <f t="shared" si="9"/>
        <v>0.967741935483871</v>
      </c>
      <c r="F264" s="27">
        <v>1550</v>
      </c>
    </row>
    <row r="265" spans="1:7" x14ac:dyDescent="0.25">
      <c r="A265" s="20" t="s">
        <v>274</v>
      </c>
      <c r="B265" s="22">
        <f>4525</f>
        <v>4525</v>
      </c>
      <c r="C265" s="22">
        <f>5000</f>
        <v>5000</v>
      </c>
      <c r="D265" s="22">
        <f t="shared" si="8"/>
        <v>-475</v>
      </c>
      <c r="E265" s="23">
        <f t="shared" si="9"/>
        <v>0.90500000000000003</v>
      </c>
      <c r="F265" s="27">
        <v>5000</v>
      </c>
    </row>
    <row r="266" spans="1:7" x14ac:dyDescent="0.25">
      <c r="A266" s="20" t="s">
        <v>275</v>
      </c>
      <c r="B266" s="24">
        <f>(((((((((B256)+(B257))+(B258))+(B259))+(B260))+(B261))+(B262))+(B263))+(B264))+(B265)</f>
        <v>23827.579999999998</v>
      </c>
      <c r="C266" s="24">
        <f>(((((((((C256)+(C257))+(C258))+(C259))+(C260))+(C261))+(C262))+(C263))+(C264))+(C265)</f>
        <v>26556</v>
      </c>
      <c r="D266" s="24">
        <f t="shared" si="8"/>
        <v>-2728.4200000000019</v>
      </c>
      <c r="E266" s="25">
        <f t="shared" si="9"/>
        <v>0.89725787016116876</v>
      </c>
      <c r="G266" s="12">
        <f>SUM(F257:F265)</f>
        <v>26420</v>
      </c>
    </row>
    <row r="267" spans="1:7" x14ac:dyDescent="0.25">
      <c r="A267" s="20" t="s">
        <v>276</v>
      </c>
      <c r="B267" s="21"/>
      <c r="C267" s="21"/>
      <c r="D267" s="22">
        <f t="shared" si="8"/>
        <v>0</v>
      </c>
      <c r="E267" s="23" t="str">
        <f t="shared" si="9"/>
        <v/>
      </c>
    </row>
    <row r="268" spans="1:7" x14ac:dyDescent="0.25">
      <c r="A268" s="20" t="s">
        <v>277</v>
      </c>
      <c r="B268" s="22">
        <f>3000</f>
        <v>3000</v>
      </c>
      <c r="C268" s="22">
        <f>3200</f>
        <v>3200</v>
      </c>
      <c r="D268" s="22">
        <f t="shared" si="8"/>
        <v>-200</v>
      </c>
      <c r="E268" s="23">
        <f t="shared" si="9"/>
        <v>0.9375</v>
      </c>
      <c r="F268" s="27">
        <v>3200</v>
      </c>
    </row>
    <row r="269" spans="1:7" x14ac:dyDescent="0.25">
      <c r="A269" s="20" t="s">
        <v>278</v>
      </c>
      <c r="B269" s="22">
        <f>300</f>
        <v>300</v>
      </c>
      <c r="C269" s="22">
        <f>450</f>
        <v>450</v>
      </c>
      <c r="D269" s="22">
        <f t="shared" si="8"/>
        <v>-150</v>
      </c>
      <c r="E269" s="23">
        <f t="shared" si="9"/>
        <v>0.66666666666666663</v>
      </c>
      <c r="F269" s="27">
        <v>450</v>
      </c>
    </row>
    <row r="270" spans="1:7" x14ac:dyDescent="0.25">
      <c r="A270" s="20" t="s">
        <v>279</v>
      </c>
      <c r="B270" s="22">
        <f>2600</f>
        <v>2600</v>
      </c>
      <c r="C270" s="22">
        <f>5252</f>
        <v>5252</v>
      </c>
      <c r="D270" s="22">
        <f t="shared" si="8"/>
        <v>-2652</v>
      </c>
      <c r="E270" s="23">
        <f t="shared" si="9"/>
        <v>0.49504950495049505</v>
      </c>
      <c r="F270" s="27">
        <v>2860</v>
      </c>
    </row>
    <row r="271" spans="1:7" x14ac:dyDescent="0.25">
      <c r="A271" s="20" t="s">
        <v>280</v>
      </c>
      <c r="B271" s="22">
        <f>5636.62</f>
        <v>5636.62</v>
      </c>
      <c r="C271" s="22">
        <f>7000</f>
        <v>7000</v>
      </c>
      <c r="D271" s="22">
        <f t="shared" ref="D271:D334" si="10">(B271)-(C271)</f>
        <v>-1363.38</v>
      </c>
      <c r="E271" s="23">
        <f t="shared" ref="E271:E334" si="11">IF(C271=0,"",(B271)/(C271))</f>
        <v>0.8052314285714286</v>
      </c>
      <c r="F271" s="27">
        <v>6000</v>
      </c>
    </row>
    <row r="272" spans="1:7" x14ac:dyDescent="0.25">
      <c r="A272" s="20" t="s">
        <v>281</v>
      </c>
      <c r="B272" s="21"/>
      <c r="C272" s="22">
        <f>300</f>
        <v>300</v>
      </c>
      <c r="D272" s="22">
        <f t="shared" si="10"/>
        <v>-300</v>
      </c>
      <c r="E272" s="23">
        <f t="shared" si="11"/>
        <v>0</v>
      </c>
      <c r="F272" s="27">
        <v>300</v>
      </c>
    </row>
    <row r="273" spans="1:7" x14ac:dyDescent="0.25">
      <c r="A273" s="20" t="s">
        <v>282</v>
      </c>
      <c r="B273" s="22">
        <f>250</f>
        <v>250</v>
      </c>
      <c r="C273" s="22">
        <f>375</f>
        <v>375</v>
      </c>
      <c r="D273" s="22">
        <f t="shared" si="10"/>
        <v>-125</v>
      </c>
      <c r="E273" s="23">
        <f t="shared" si="11"/>
        <v>0.66666666666666663</v>
      </c>
      <c r="F273" s="27">
        <v>375</v>
      </c>
    </row>
    <row r="274" spans="1:7" x14ac:dyDescent="0.25">
      <c r="A274" s="20" t="s">
        <v>283</v>
      </c>
      <c r="B274" s="21"/>
      <c r="C274" s="22">
        <f>200</f>
        <v>200</v>
      </c>
      <c r="D274" s="22">
        <f t="shared" si="10"/>
        <v>-200</v>
      </c>
      <c r="E274" s="23">
        <f t="shared" si="11"/>
        <v>0</v>
      </c>
      <c r="F274" s="27">
        <v>200</v>
      </c>
    </row>
    <row r="275" spans="1:7" x14ac:dyDescent="0.25">
      <c r="A275" s="20" t="s">
        <v>284</v>
      </c>
      <c r="B275" s="22">
        <f>750</f>
        <v>750</v>
      </c>
      <c r="C275" s="22">
        <f>775</f>
        <v>775</v>
      </c>
      <c r="D275" s="22">
        <f t="shared" si="10"/>
        <v>-25</v>
      </c>
      <c r="E275" s="23">
        <f t="shared" si="11"/>
        <v>0.967741935483871</v>
      </c>
      <c r="F275" s="27">
        <v>775</v>
      </c>
    </row>
    <row r="276" spans="1:7" x14ac:dyDescent="0.25">
      <c r="A276" s="20" t="s">
        <v>285</v>
      </c>
      <c r="B276" s="22">
        <f>4525</f>
        <v>4525</v>
      </c>
      <c r="C276" s="22">
        <f>5000</f>
        <v>5000</v>
      </c>
      <c r="D276" s="22">
        <f t="shared" si="10"/>
        <v>-475</v>
      </c>
      <c r="E276" s="23">
        <f t="shared" si="11"/>
        <v>0.90500000000000003</v>
      </c>
      <c r="F276" s="27">
        <v>5000</v>
      </c>
    </row>
    <row r="277" spans="1:7" x14ac:dyDescent="0.25">
      <c r="A277" s="20" t="s">
        <v>286</v>
      </c>
      <c r="B277" s="24">
        <f>(((((((((B267)+(B268))+(B269))+(B270))+(B271))+(B272))+(B273))+(B274))+(B275))+(B276)</f>
        <v>17061.62</v>
      </c>
      <c r="C277" s="24">
        <f>(((((((((C267)+(C268))+(C269))+(C270))+(C271))+(C272))+(C273))+(C274))+(C275))+(C276)</f>
        <v>22552</v>
      </c>
      <c r="D277" s="24">
        <f t="shared" si="10"/>
        <v>-5490.380000000001</v>
      </c>
      <c r="E277" s="25">
        <f t="shared" si="11"/>
        <v>0.75654576090812342</v>
      </c>
      <c r="G277" s="12">
        <f>SUM(F268:F276)</f>
        <v>19160</v>
      </c>
    </row>
    <row r="278" spans="1:7" x14ac:dyDescent="0.25">
      <c r="A278" s="20" t="s">
        <v>287</v>
      </c>
      <c r="B278" s="24">
        <f>((B255)+(B266))+(B277)</f>
        <v>40889.199999999997</v>
      </c>
      <c r="C278" s="24">
        <f>((C255)+(C266))+(C277)</f>
        <v>49108</v>
      </c>
      <c r="D278" s="24">
        <f t="shared" si="10"/>
        <v>-8218.8000000000029</v>
      </c>
      <c r="E278" s="25">
        <f t="shared" si="11"/>
        <v>0.83263826667752705</v>
      </c>
    </row>
    <row r="279" spans="1:7" x14ac:dyDescent="0.25">
      <c r="A279" s="20" t="s">
        <v>288</v>
      </c>
      <c r="B279" s="21"/>
      <c r="C279" s="21"/>
      <c r="D279" s="22">
        <f t="shared" si="10"/>
        <v>0</v>
      </c>
      <c r="E279" s="23" t="str">
        <f t="shared" si="11"/>
        <v/>
      </c>
    </row>
    <row r="280" spans="1:7" x14ac:dyDescent="0.25">
      <c r="A280" s="20" t="s">
        <v>289</v>
      </c>
      <c r="B280" s="22">
        <f>8218.04</f>
        <v>8218.0400000000009</v>
      </c>
      <c r="C280" s="22">
        <f>25000</f>
        <v>25000</v>
      </c>
      <c r="D280" s="22">
        <f t="shared" si="10"/>
        <v>-16781.96</v>
      </c>
      <c r="E280" s="23">
        <f t="shared" si="11"/>
        <v>0.32872160000000006</v>
      </c>
      <c r="F280" s="27">
        <v>14000</v>
      </c>
    </row>
    <row r="281" spans="1:7" x14ac:dyDescent="0.25">
      <c r="A281" s="20" t="s">
        <v>290</v>
      </c>
      <c r="B281" s="22">
        <f>112.69</f>
        <v>112.69</v>
      </c>
      <c r="C281" s="22">
        <f>2000</f>
        <v>2000</v>
      </c>
      <c r="D281" s="22">
        <f t="shared" si="10"/>
        <v>-1887.31</v>
      </c>
      <c r="E281" s="23">
        <f t="shared" si="11"/>
        <v>5.6344999999999999E-2</v>
      </c>
      <c r="F281" s="27">
        <v>2000</v>
      </c>
    </row>
    <row r="282" spans="1:7" x14ac:dyDescent="0.25">
      <c r="A282" s="20" t="s">
        <v>291</v>
      </c>
      <c r="B282" s="22">
        <f>30908.88</f>
        <v>30908.880000000001</v>
      </c>
      <c r="C282" s="22">
        <f>35000</f>
        <v>35000</v>
      </c>
      <c r="D282" s="22">
        <f t="shared" si="10"/>
        <v>-4091.119999999999</v>
      </c>
      <c r="E282" s="23">
        <f t="shared" si="11"/>
        <v>0.8831108571428572</v>
      </c>
      <c r="F282" s="27">
        <v>34000</v>
      </c>
    </row>
    <row r="283" spans="1:7" x14ac:dyDescent="0.25">
      <c r="A283" s="20" t="s">
        <v>292</v>
      </c>
      <c r="B283" s="22">
        <f>59306.94</f>
        <v>59306.94</v>
      </c>
      <c r="C283" s="22">
        <f>50000</f>
        <v>50000</v>
      </c>
      <c r="D283" s="22">
        <f t="shared" si="10"/>
        <v>9306.9400000000023</v>
      </c>
      <c r="E283" s="23">
        <f t="shared" si="11"/>
        <v>1.1861387999999999</v>
      </c>
      <c r="F283" s="27">
        <v>60000</v>
      </c>
    </row>
    <row r="284" spans="1:7" ht="23.25" x14ac:dyDescent="0.25">
      <c r="A284" s="20" t="s">
        <v>293</v>
      </c>
      <c r="B284" s="22">
        <f>43.32</f>
        <v>43.32</v>
      </c>
      <c r="C284" s="22">
        <f>400</f>
        <v>400</v>
      </c>
      <c r="D284" s="22">
        <f t="shared" si="10"/>
        <v>-356.68</v>
      </c>
      <c r="E284" s="23">
        <f t="shared" si="11"/>
        <v>0.10830000000000001</v>
      </c>
      <c r="F284" s="27">
        <v>400</v>
      </c>
    </row>
    <row r="285" spans="1:7" x14ac:dyDescent="0.25">
      <c r="A285" s="20" t="s">
        <v>294</v>
      </c>
      <c r="B285" s="22">
        <f>1630.66</f>
        <v>1630.66</v>
      </c>
      <c r="C285" s="22">
        <f>3000</f>
        <v>3000</v>
      </c>
      <c r="D285" s="22">
        <f t="shared" si="10"/>
        <v>-1369.34</v>
      </c>
      <c r="E285" s="23">
        <f t="shared" si="11"/>
        <v>0.54355333333333333</v>
      </c>
      <c r="F285" s="27">
        <v>2000</v>
      </c>
    </row>
    <row r="286" spans="1:7" x14ac:dyDescent="0.25">
      <c r="A286" s="20" t="s">
        <v>295</v>
      </c>
      <c r="B286" s="21"/>
      <c r="C286" s="22">
        <f>750</f>
        <v>750</v>
      </c>
      <c r="D286" s="22">
        <f t="shared" si="10"/>
        <v>-750</v>
      </c>
      <c r="E286" s="23">
        <f t="shared" si="11"/>
        <v>0</v>
      </c>
      <c r="F286" s="27">
        <v>750</v>
      </c>
    </row>
    <row r="287" spans="1:7" x14ac:dyDescent="0.25">
      <c r="A287" s="20" t="s">
        <v>296</v>
      </c>
      <c r="B287" s="22">
        <f>13065</f>
        <v>13065</v>
      </c>
      <c r="C287" s="22">
        <f>10800</f>
        <v>10800</v>
      </c>
      <c r="D287" s="22">
        <f t="shared" si="10"/>
        <v>2265</v>
      </c>
      <c r="E287" s="23">
        <f t="shared" si="11"/>
        <v>1.2097222222222221</v>
      </c>
      <c r="F287" s="27">
        <v>14000</v>
      </c>
    </row>
    <row r="288" spans="1:7" x14ac:dyDescent="0.25">
      <c r="A288" s="20" t="s">
        <v>297</v>
      </c>
      <c r="B288" s="22">
        <f>43590.04</f>
        <v>43590.04</v>
      </c>
      <c r="C288" s="22">
        <f>42000</f>
        <v>42000</v>
      </c>
      <c r="D288" s="22">
        <f t="shared" si="10"/>
        <v>1590.0400000000009</v>
      </c>
      <c r="E288" s="23">
        <f t="shared" si="11"/>
        <v>1.0378580952380954</v>
      </c>
      <c r="F288" s="27">
        <v>45000</v>
      </c>
    </row>
    <row r="289" spans="1:7" x14ac:dyDescent="0.25">
      <c r="A289" s="20" t="s">
        <v>298</v>
      </c>
      <c r="B289" s="24">
        <f>(((((((((B279)+(B280))+(B281))+(B282))+(B283))+(B284))+(B285))+(B286))+(B287))+(B288)</f>
        <v>156875.57</v>
      </c>
      <c r="C289" s="24">
        <f>(((((((((C279)+(C280))+(C281))+(C282))+(C283))+(C284))+(C285))+(C286))+(C287))+(C288)</f>
        <v>168950</v>
      </c>
      <c r="D289" s="24">
        <f t="shared" si="10"/>
        <v>-12074.429999999993</v>
      </c>
      <c r="E289" s="25">
        <f t="shared" si="11"/>
        <v>0.9285325244155076</v>
      </c>
      <c r="G289" s="12">
        <f>SUM(F280:F288)</f>
        <v>172150</v>
      </c>
    </row>
    <row r="290" spans="1:7" x14ac:dyDescent="0.25">
      <c r="A290" s="20" t="s">
        <v>299</v>
      </c>
      <c r="B290" s="21"/>
      <c r="C290" s="22">
        <f>450</f>
        <v>450</v>
      </c>
      <c r="D290" s="22">
        <f t="shared" si="10"/>
        <v>-450</v>
      </c>
      <c r="E290" s="23">
        <f t="shared" si="11"/>
        <v>0</v>
      </c>
      <c r="F290" s="27">
        <v>500</v>
      </c>
    </row>
    <row r="291" spans="1:7" x14ac:dyDescent="0.25">
      <c r="A291" s="20" t="s">
        <v>300</v>
      </c>
      <c r="B291" s="21"/>
      <c r="C291" s="21"/>
      <c r="D291" s="22">
        <f t="shared" si="10"/>
        <v>0</v>
      </c>
      <c r="E291" s="23" t="str">
        <f t="shared" si="11"/>
        <v/>
      </c>
    </row>
    <row r="292" spans="1:7" x14ac:dyDescent="0.25">
      <c r="A292" s="20" t="s">
        <v>301</v>
      </c>
      <c r="B292" s="22">
        <f>5502.4</f>
        <v>5502.4</v>
      </c>
      <c r="C292" s="22">
        <f>500</f>
        <v>500</v>
      </c>
      <c r="D292" s="22">
        <f t="shared" si="10"/>
        <v>5002.3999999999996</v>
      </c>
      <c r="E292" s="23">
        <f t="shared" si="11"/>
        <v>11.004799999999999</v>
      </c>
      <c r="F292" s="27">
        <v>5500</v>
      </c>
    </row>
    <row r="293" spans="1:7" x14ac:dyDescent="0.25">
      <c r="A293" s="20" t="s">
        <v>302</v>
      </c>
      <c r="B293" s="21"/>
      <c r="C293" s="22">
        <f>1000</f>
        <v>1000</v>
      </c>
      <c r="D293" s="22">
        <f t="shared" si="10"/>
        <v>-1000</v>
      </c>
      <c r="E293" s="23">
        <f t="shared" si="11"/>
        <v>0</v>
      </c>
      <c r="F293" s="27">
        <v>1000</v>
      </c>
    </row>
    <row r="294" spans="1:7" x14ac:dyDescent="0.25">
      <c r="A294" s="20" t="s">
        <v>303</v>
      </c>
      <c r="B294" s="21"/>
      <c r="C294" s="22">
        <f>1000</f>
        <v>1000</v>
      </c>
      <c r="D294" s="22">
        <f t="shared" si="10"/>
        <v>-1000</v>
      </c>
      <c r="E294" s="23">
        <f t="shared" si="11"/>
        <v>0</v>
      </c>
      <c r="F294" s="27">
        <v>1000</v>
      </c>
    </row>
    <row r="295" spans="1:7" x14ac:dyDescent="0.25">
      <c r="A295" s="20" t="s">
        <v>304</v>
      </c>
      <c r="B295" s="24">
        <f>(((B291)+(B292))+(B293))+(B294)</f>
        <v>5502.4</v>
      </c>
      <c r="C295" s="24">
        <f>(((C291)+(C292))+(C293))+(C294)</f>
        <v>2500</v>
      </c>
      <c r="D295" s="24">
        <f t="shared" si="10"/>
        <v>3002.3999999999996</v>
      </c>
      <c r="E295" s="25">
        <f t="shared" si="11"/>
        <v>2.2009599999999998</v>
      </c>
    </row>
    <row r="296" spans="1:7" x14ac:dyDescent="0.25">
      <c r="A296" s="20" t="s">
        <v>305</v>
      </c>
      <c r="B296" s="24">
        <f>((((((((B194)+(B213))+(B223))+(B233))+(B254))+(B278))+(B289))+(B290))+(B295)</f>
        <v>310981.74000000005</v>
      </c>
      <c r="C296" s="24">
        <f>((((((((C194)+(C213))+(C223))+(C233))+(C254))+(C278))+(C289))+(C290))+(C295)</f>
        <v>370264</v>
      </c>
      <c r="D296" s="24">
        <f t="shared" si="10"/>
        <v>-59282.259999999951</v>
      </c>
      <c r="E296" s="25">
        <f t="shared" si="11"/>
        <v>0.8398919149579761</v>
      </c>
    </row>
    <row r="297" spans="1:7" x14ac:dyDescent="0.25">
      <c r="A297" s="20" t="s">
        <v>306</v>
      </c>
      <c r="B297" s="21"/>
      <c r="C297" s="21"/>
      <c r="D297" s="22">
        <f t="shared" si="10"/>
        <v>0</v>
      </c>
      <c r="E297" s="23" t="str">
        <f t="shared" si="11"/>
        <v/>
      </c>
    </row>
    <row r="298" spans="1:7" x14ac:dyDescent="0.25">
      <c r="A298" s="20" t="s">
        <v>307</v>
      </c>
      <c r="B298" s="21"/>
      <c r="C298" s="21"/>
      <c r="D298" s="22">
        <f t="shared" si="10"/>
        <v>0</v>
      </c>
      <c r="E298" s="23" t="str">
        <f t="shared" si="11"/>
        <v/>
      </c>
    </row>
    <row r="299" spans="1:7" x14ac:dyDescent="0.25">
      <c r="A299" s="20" t="s">
        <v>308</v>
      </c>
      <c r="B299" s="22">
        <f>2522.4</f>
        <v>2522.4</v>
      </c>
      <c r="C299" s="22">
        <f>2600</f>
        <v>2600</v>
      </c>
      <c r="D299" s="22">
        <f t="shared" si="10"/>
        <v>-77.599999999999909</v>
      </c>
      <c r="E299" s="23">
        <f t="shared" si="11"/>
        <v>0.97015384615384614</v>
      </c>
      <c r="F299" s="27">
        <v>0</v>
      </c>
    </row>
    <row r="300" spans="1:7" x14ac:dyDescent="0.25">
      <c r="A300" s="20" t="s">
        <v>309</v>
      </c>
      <c r="B300" s="22">
        <f>8625</f>
        <v>8625</v>
      </c>
      <c r="C300" s="21"/>
      <c r="D300" s="22">
        <f t="shared" si="10"/>
        <v>8625</v>
      </c>
      <c r="E300" s="23" t="str">
        <f t="shared" si="11"/>
        <v/>
      </c>
      <c r="F300" s="27">
        <v>0</v>
      </c>
    </row>
    <row r="301" spans="1:7" x14ac:dyDescent="0.25">
      <c r="A301" s="20" t="s">
        <v>310</v>
      </c>
      <c r="B301" s="22">
        <f>8088.88</f>
        <v>8088.88</v>
      </c>
      <c r="C301" s="22">
        <f>6500</f>
        <v>6500</v>
      </c>
      <c r="D301" s="22">
        <f t="shared" si="10"/>
        <v>1588.88</v>
      </c>
      <c r="E301" s="23">
        <f t="shared" si="11"/>
        <v>1.244443076923077</v>
      </c>
      <c r="F301" s="27">
        <v>0</v>
      </c>
    </row>
    <row r="302" spans="1:7" x14ac:dyDescent="0.25">
      <c r="A302" s="20" t="s">
        <v>311</v>
      </c>
      <c r="B302" s="22">
        <f>19894.68</f>
        <v>19894.68</v>
      </c>
      <c r="C302" s="22">
        <f>21000</f>
        <v>21000</v>
      </c>
      <c r="D302" s="22">
        <f t="shared" si="10"/>
        <v>-1105.3199999999997</v>
      </c>
      <c r="E302" s="23">
        <f t="shared" si="11"/>
        <v>0.94736571428571426</v>
      </c>
      <c r="F302" s="27">
        <v>0</v>
      </c>
    </row>
    <row r="303" spans="1:7" x14ac:dyDescent="0.25">
      <c r="A303" s="20" t="s">
        <v>312</v>
      </c>
      <c r="B303" s="22">
        <f>15300</f>
        <v>15300</v>
      </c>
      <c r="C303" s="22">
        <f>15000</f>
        <v>15000</v>
      </c>
      <c r="D303" s="22">
        <f t="shared" si="10"/>
        <v>300</v>
      </c>
      <c r="E303" s="23">
        <f t="shared" si="11"/>
        <v>1.02</v>
      </c>
      <c r="F303" s="27">
        <v>0</v>
      </c>
    </row>
    <row r="304" spans="1:7" x14ac:dyDescent="0.25">
      <c r="A304" s="20" t="s">
        <v>313</v>
      </c>
      <c r="B304" s="22">
        <f>1120.25</f>
        <v>1120.25</v>
      </c>
      <c r="C304" s="22">
        <f>1700</f>
        <v>1700</v>
      </c>
      <c r="D304" s="22">
        <f t="shared" si="10"/>
        <v>-579.75</v>
      </c>
      <c r="E304" s="23">
        <f t="shared" si="11"/>
        <v>0.65897058823529409</v>
      </c>
      <c r="F304" s="27">
        <v>0</v>
      </c>
    </row>
    <row r="305" spans="1:6" x14ac:dyDescent="0.25">
      <c r="A305" s="20" t="s">
        <v>314</v>
      </c>
      <c r="B305" s="22">
        <f>2700</f>
        <v>2700</v>
      </c>
      <c r="C305" s="22">
        <f>3700</f>
        <v>3700</v>
      </c>
      <c r="D305" s="22">
        <f t="shared" si="10"/>
        <v>-1000</v>
      </c>
      <c r="E305" s="23">
        <f t="shared" si="11"/>
        <v>0.72972972972972971</v>
      </c>
      <c r="F305" s="27">
        <v>0</v>
      </c>
    </row>
    <row r="306" spans="1:6" x14ac:dyDescent="0.25">
      <c r="A306" s="20" t="s">
        <v>315</v>
      </c>
      <c r="B306" s="22">
        <f>8003.01</f>
        <v>8003.01</v>
      </c>
      <c r="C306" s="22">
        <f>6500</f>
        <v>6500</v>
      </c>
      <c r="D306" s="22">
        <f t="shared" si="10"/>
        <v>1503.0100000000002</v>
      </c>
      <c r="E306" s="23">
        <f t="shared" si="11"/>
        <v>1.2312323076923077</v>
      </c>
      <c r="F306" s="27">
        <v>0</v>
      </c>
    </row>
    <row r="307" spans="1:6" x14ac:dyDescent="0.25">
      <c r="A307" s="20" t="s">
        <v>316</v>
      </c>
      <c r="B307" s="22">
        <f>6800</f>
        <v>6800</v>
      </c>
      <c r="C307" s="22">
        <f>5000</f>
        <v>5000</v>
      </c>
      <c r="D307" s="22">
        <f t="shared" si="10"/>
        <v>1800</v>
      </c>
      <c r="E307" s="23">
        <f t="shared" si="11"/>
        <v>1.36</v>
      </c>
      <c r="F307" s="27">
        <v>0</v>
      </c>
    </row>
    <row r="308" spans="1:6" x14ac:dyDescent="0.25">
      <c r="A308" s="20" t="s">
        <v>317</v>
      </c>
      <c r="B308" s="21"/>
      <c r="C308" s="22">
        <f>11000</f>
        <v>11000</v>
      </c>
      <c r="D308" s="22">
        <f t="shared" si="10"/>
        <v>-11000</v>
      </c>
      <c r="E308" s="23">
        <f t="shared" si="11"/>
        <v>0</v>
      </c>
      <c r="F308" s="27">
        <v>0</v>
      </c>
    </row>
    <row r="309" spans="1:6" x14ac:dyDescent="0.25">
      <c r="A309" s="20" t="s">
        <v>318</v>
      </c>
      <c r="B309" s="21"/>
      <c r="C309" s="22">
        <f>8000</f>
        <v>8000</v>
      </c>
      <c r="D309" s="22">
        <f t="shared" si="10"/>
        <v>-8000</v>
      </c>
      <c r="E309" s="23">
        <f t="shared" si="11"/>
        <v>0</v>
      </c>
      <c r="F309" s="27">
        <v>0</v>
      </c>
    </row>
    <row r="310" spans="1:6" x14ac:dyDescent="0.25">
      <c r="A310" s="20" t="s">
        <v>319</v>
      </c>
      <c r="B310" s="24">
        <f>(((((((((((B298)+(B299))+(B300))+(B301))+(B302))+(B303))+(B304))+(B305))+(B306))+(B307))+(B308))+(B309)</f>
        <v>73054.22</v>
      </c>
      <c r="C310" s="24">
        <f>(((((((((((C298)+(C299))+(C300))+(C301))+(C302))+(C303))+(C304))+(C305))+(C306))+(C307))+(C308))+(C309)</f>
        <v>81000</v>
      </c>
      <c r="D310" s="24">
        <f t="shared" si="10"/>
        <v>-7945.7799999999988</v>
      </c>
      <c r="E310" s="25">
        <f t="shared" si="11"/>
        <v>0.90190395061728401</v>
      </c>
    </row>
    <row r="311" spans="1:6" x14ac:dyDescent="0.25">
      <c r="A311" s="20" t="s">
        <v>320</v>
      </c>
      <c r="B311" s="21"/>
      <c r="C311" s="21"/>
      <c r="D311" s="22">
        <f t="shared" si="10"/>
        <v>0</v>
      </c>
      <c r="E311" s="23" t="str">
        <f t="shared" si="11"/>
        <v/>
      </c>
    </row>
    <row r="312" spans="1:6" x14ac:dyDescent="0.25">
      <c r="A312" s="20" t="s">
        <v>321</v>
      </c>
      <c r="B312" s="22">
        <f>15495.25</f>
        <v>15495.25</v>
      </c>
      <c r="C312" s="22">
        <f>2000</f>
        <v>2000</v>
      </c>
      <c r="D312" s="22">
        <f t="shared" si="10"/>
        <v>13495.25</v>
      </c>
      <c r="E312" s="23">
        <f t="shared" si="11"/>
        <v>7.7476250000000002</v>
      </c>
      <c r="F312" s="27">
        <v>16000</v>
      </c>
    </row>
    <row r="313" spans="1:6" x14ac:dyDescent="0.25">
      <c r="A313" s="20" t="s">
        <v>322</v>
      </c>
      <c r="B313" s="22">
        <f>11590.81</f>
        <v>11590.81</v>
      </c>
      <c r="C313" s="22">
        <f>3000</f>
        <v>3000</v>
      </c>
      <c r="D313" s="22">
        <f t="shared" si="10"/>
        <v>8590.81</v>
      </c>
      <c r="E313" s="23">
        <f t="shared" si="11"/>
        <v>3.8636033333333333</v>
      </c>
      <c r="F313" s="27">
        <v>12000</v>
      </c>
    </row>
    <row r="314" spans="1:6" x14ac:dyDescent="0.25">
      <c r="A314" s="20" t="s">
        <v>323</v>
      </c>
      <c r="B314" s="22">
        <f>9164.65</f>
        <v>9164.65</v>
      </c>
      <c r="C314" s="22">
        <f>8000</f>
        <v>8000</v>
      </c>
      <c r="D314" s="22">
        <f t="shared" si="10"/>
        <v>1164.6499999999996</v>
      </c>
      <c r="E314" s="23">
        <f t="shared" si="11"/>
        <v>1.14558125</v>
      </c>
      <c r="F314" s="27">
        <v>10000</v>
      </c>
    </row>
    <row r="315" spans="1:6" x14ac:dyDescent="0.25">
      <c r="A315" s="20" t="s">
        <v>324</v>
      </c>
      <c r="B315" s="22">
        <f>4575</f>
        <v>4575</v>
      </c>
      <c r="C315" s="22">
        <f>8500</f>
        <v>8500</v>
      </c>
      <c r="D315" s="22">
        <f t="shared" si="10"/>
        <v>-3925</v>
      </c>
      <c r="E315" s="23">
        <f t="shared" si="11"/>
        <v>0.53823529411764703</v>
      </c>
      <c r="F315" s="27">
        <v>5000</v>
      </c>
    </row>
    <row r="316" spans="1:6" x14ac:dyDescent="0.25">
      <c r="A316" s="20" t="s">
        <v>325</v>
      </c>
      <c r="B316" s="22">
        <f>1335</f>
        <v>1335</v>
      </c>
      <c r="C316" s="22">
        <f>1400</f>
        <v>1400</v>
      </c>
      <c r="D316" s="22">
        <f t="shared" si="10"/>
        <v>-65</v>
      </c>
      <c r="E316" s="23">
        <f t="shared" si="11"/>
        <v>0.95357142857142863</v>
      </c>
      <c r="F316" s="27">
        <v>1400</v>
      </c>
    </row>
    <row r="317" spans="1:6" x14ac:dyDescent="0.25">
      <c r="A317" s="20" t="s">
        <v>326</v>
      </c>
      <c r="B317" s="22">
        <f>11464.51</f>
        <v>11464.51</v>
      </c>
      <c r="C317" s="22">
        <f>7050</f>
        <v>7050</v>
      </c>
      <c r="D317" s="22">
        <f t="shared" si="10"/>
        <v>4414.51</v>
      </c>
      <c r="E317" s="23">
        <f t="shared" si="11"/>
        <v>1.6261716312056738</v>
      </c>
      <c r="F317" s="27">
        <v>12000</v>
      </c>
    </row>
    <row r="318" spans="1:6" x14ac:dyDescent="0.25">
      <c r="A318" s="20" t="s">
        <v>327</v>
      </c>
      <c r="B318" s="22">
        <f>6988.23</f>
        <v>6988.23</v>
      </c>
      <c r="C318" s="22">
        <f>3200</f>
        <v>3200</v>
      </c>
      <c r="D318" s="22">
        <f t="shared" si="10"/>
        <v>3788.2299999999996</v>
      </c>
      <c r="E318" s="23">
        <f t="shared" si="11"/>
        <v>2.183821875</v>
      </c>
      <c r="F318" s="27">
        <v>7000</v>
      </c>
    </row>
    <row r="319" spans="1:6" x14ac:dyDescent="0.25">
      <c r="A319" s="20" t="s">
        <v>328</v>
      </c>
      <c r="B319" s="21"/>
      <c r="C319" s="22">
        <f>3800</f>
        <v>3800</v>
      </c>
      <c r="D319" s="22">
        <f t="shared" si="10"/>
        <v>-3800</v>
      </c>
      <c r="E319" s="23">
        <f t="shared" si="11"/>
        <v>0</v>
      </c>
      <c r="F319" s="27">
        <v>0</v>
      </c>
    </row>
    <row r="320" spans="1:6" x14ac:dyDescent="0.25">
      <c r="A320" s="20" t="s">
        <v>329</v>
      </c>
      <c r="B320" s="22">
        <f>1725</f>
        <v>1725</v>
      </c>
      <c r="C320" s="22">
        <f>1500</f>
        <v>1500</v>
      </c>
      <c r="D320" s="22">
        <f t="shared" si="10"/>
        <v>225</v>
      </c>
      <c r="E320" s="23">
        <f t="shared" si="11"/>
        <v>1.1499999999999999</v>
      </c>
      <c r="F320" s="27">
        <v>2000</v>
      </c>
    </row>
    <row r="321" spans="1:7" x14ac:dyDescent="0.25">
      <c r="A321" s="20" t="s">
        <v>330</v>
      </c>
      <c r="B321" s="24">
        <f>(((((((((B311)+(B312))+(B313))+(B314))+(B315))+(B316))+(B317))+(B318))+(B319))+(B320)</f>
        <v>62338.45</v>
      </c>
      <c r="C321" s="24">
        <f>(((((((((C311)+(C312))+(C313))+(C314))+(C315))+(C316))+(C317))+(C318))+(C319))+(C320)</f>
        <v>38450</v>
      </c>
      <c r="D321" s="24">
        <f t="shared" si="10"/>
        <v>23888.449999999997</v>
      </c>
      <c r="E321" s="25">
        <f t="shared" si="11"/>
        <v>1.6212860858257476</v>
      </c>
      <c r="G321" s="12">
        <f>SUM(F312:F320)</f>
        <v>65400</v>
      </c>
    </row>
    <row r="322" spans="1:7" x14ac:dyDescent="0.25">
      <c r="A322" s="20" t="s">
        <v>331</v>
      </c>
      <c r="B322" s="21"/>
      <c r="C322" s="21"/>
      <c r="D322" s="22">
        <f t="shared" si="10"/>
        <v>0</v>
      </c>
      <c r="E322" s="23" t="str">
        <f t="shared" si="11"/>
        <v/>
      </c>
    </row>
    <row r="323" spans="1:7" x14ac:dyDescent="0.25">
      <c r="A323" s="20" t="s">
        <v>332</v>
      </c>
      <c r="B323" s="21"/>
      <c r="C323" s="22">
        <f>500</f>
        <v>500</v>
      </c>
      <c r="D323" s="22">
        <f t="shared" si="10"/>
        <v>-500</v>
      </c>
      <c r="E323" s="23">
        <f t="shared" si="11"/>
        <v>0</v>
      </c>
      <c r="F323" s="27">
        <v>625</v>
      </c>
    </row>
    <row r="324" spans="1:7" x14ac:dyDescent="0.25">
      <c r="A324" s="20" t="s">
        <v>333</v>
      </c>
      <c r="B324" s="21"/>
      <c r="C324" s="22">
        <f>1500</f>
        <v>1500</v>
      </c>
      <c r="D324" s="22">
        <f t="shared" si="10"/>
        <v>-1500</v>
      </c>
      <c r="E324" s="23">
        <f t="shared" si="11"/>
        <v>0</v>
      </c>
      <c r="F324" s="27">
        <v>2000</v>
      </c>
    </row>
    <row r="325" spans="1:7" x14ac:dyDescent="0.25">
      <c r="A325" s="20" t="s">
        <v>334</v>
      </c>
      <c r="B325" s="22">
        <f>2607.04</f>
        <v>2607.04</v>
      </c>
      <c r="C325" s="22">
        <f>10088</f>
        <v>10088</v>
      </c>
      <c r="D325" s="22">
        <f t="shared" si="10"/>
        <v>-7480.96</v>
      </c>
      <c r="E325" s="23">
        <f t="shared" si="11"/>
        <v>0.25842981760507533</v>
      </c>
      <c r="F325" s="27">
        <v>2900</v>
      </c>
    </row>
    <row r="326" spans="1:7" x14ac:dyDescent="0.25">
      <c r="A326" s="20" t="s">
        <v>335</v>
      </c>
      <c r="B326" s="22">
        <f>2785.22</f>
        <v>2785.22</v>
      </c>
      <c r="C326" s="22">
        <f>4000</f>
        <v>4000</v>
      </c>
      <c r="D326" s="22">
        <f t="shared" si="10"/>
        <v>-1214.7800000000002</v>
      </c>
      <c r="E326" s="23">
        <f t="shared" si="11"/>
        <v>0.69630499999999995</v>
      </c>
      <c r="F326" s="27">
        <v>5600</v>
      </c>
    </row>
    <row r="327" spans="1:7" x14ac:dyDescent="0.25">
      <c r="A327" s="20" t="s">
        <v>336</v>
      </c>
      <c r="B327" s="21"/>
      <c r="C327" s="22">
        <f>500</f>
        <v>500</v>
      </c>
      <c r="D327" s="22">
        <f t="shared" si="10"/>
        <v>-500</v>
      </c>
      <c r="E327" s="23">
        <f t="shared" si="11"/>
        <v>0</v>
      </c>
      <c r="F327" s="27">
        <v>500</v>
      </c>
    </row>
    <row r="328" spans="1:7" x14ac:dyDescent="0.25">
      <c r="A328" s="20" t="s">
        <v>337</v>
      </c>
      <c r="B328" s="22">
        <f>15</f>
        <v>15</v>
      </c>
      <c r="C328" s="22">
        <f>300</f>
        <v>300</v>
      </c>
      <c r="D328" s="22">
        <f t="shared" si="10"/>
        <v>-285</v>
      </c>
      <c r="E328" s="23">
        <f t="shared" si="11"/>
        <v>0.05</v>
      </c>
      <c r="F328" s="27">
        <v>300</v>
      </c>
    </row>
    <row r="329" spans="1:7" x14ac:dyDescent="0.25">
      <c r="A329" s="20" t="s">
        <v>338</v>
      </c>
      <c r="B329" s="22">
        <f>5149.75</f>
        <v>5149.75</v>
      </c>
      <c r="C329" s="22">
        <f>4200</f>
        <v>4200</v>
      </c>
      <c r="D329" s="22">
        <f t="shared" si="10"/>
        <v>949.75</v>
      </c>
      <c r="E329" s="23">
        <f t="shared" si="11"/>
        <v>1.2261309523809525</v>
      </c>
      <c r="F329" s="27">
        <v>25000</v>
      </c>
    </row>
    <row r="330" spans="1:7" x14ac:dyDescent="0.25">
      <c r="A330" s="20" t="s">
        <v>339</v>
      </c>
      <c r="B330" s="24">
        <f>(((((((B322)+(B323))+(B324))+(B325))+(B326))+(B327))+(B328))+(B329)</f>
        <v>10557.01</v>
      </c>
      <c r="C330" s="24">
        <f>(((((((C322)+(C323))+(C324))+(C325))+(C326))+(C327))+(C328))+(C329)</f>
        <v>21088</v>
      </c>
      <c r="D330" s="24">
        <f t="shared" si="10"/>
        <v>-10530.99</v>
      </c>
      <c r="E330" s="25">
        <f t="shared" si="11"/>
        <v>0.5006169385432474</v>
      </c>
      <c r="G330" s="12">
        <f>SUM(F323:F329)</f>
        <v>36925</v>
      </c>
    </row>
    <row r="331" spans="1:7" x14ac:dyDescent="0.25">
      <c r="A331" s="20" t="s">
        <v>340</v>
      </c>
      <c r="B331" s="24">
        <f>(((B297)+(B310))+(B321))+(B330)</f>
        <v>145949.68</v>
      </c>
      <c r="C331" s="24">
        <f>(((C297)+(C310))+(C321))+(C330)</f>
        <v>140538</v>
      </c>
      <c r="D331" s="24">
        <f t="shared" si="10"/>
        <v>5411.679999999993</v>
      </c>
      <c r="E331" s="25">
        <f t="shared" si="11"/>
        <v>1.0385068807013049</v>
      </c>
    </row>
    <row r="332" spans="1:7" x14ac:dyDescent="0.25">
      <c r="A332" s="20" t="s">
        <v>341</v>
      </c>
      <c r="B332" s="24">
        <f>(((((B136)+(B185))+(B186))+(B193))+(B296))+(B331)</f>
        <v>627334.27</v>
      </c>
      <c r="C332" s="24">
        <f>(((((C136)+(C185))+(C186))+(C193))+(C296))+(C331)</f>
        <v>710836</v>
      </c>
      <c r="D332" s="24">
        <f t="shared" si="10"/>
        <v>-83501.729999999981</v>
      </c>
      <c r="E332" s="25">
        <f t="shared" si="11"/>
        <v>0.88253024607645081</v>
      </c>
    </row>
    <row r="333" spans="1:7" x14ac:dyDescent="0.25">
      <c r="A333" s="20" t="s">
        <v>342</v>
      </c>
      <c r="B333" s="21"/>
      <c r="C333" s="21"/>
      <c r="D333" s="22">
        <f t="shared" si="10"/>
        <v>0</v>
      </c>
      <c r="E333" s="23" t="str">
        <f t="shared" si="11"/>
        <v/>
      </c>
    </row>
    <row r="334" spans="1:7" x14ac:dyDescent="0.25">
      <c r="A334" s="20" t="s">
        <v>343</v>
      </c>
      <c r="B334" s="22">
        <f>600</f>
        <v>600</v>
      </c>
      <c r="C334" s="22">
        <f>600</f>
        <v>600</v>
      </c>
      <c r="D334" s="22">
        <f t="shared" si="10"/>
        <v>0</v>
      </c>
      <c r="E334" s="23">
        <f t="shared" si="11"/>
        <v>1</v>
      </c>
      <c r="F334" s="27">
        <v>600</v>
      </c>
    </row>
    <row r="335" spans="1:7" x14ac:dyDescent="0.25">
      <c r="A335" s="20" t="s">
        <v>344</v>
      </c>
      <c r="B335" s="24">
        <f>(B333)+(B334)</f>
        <v>600</v>
      </c>
      <c r="C335" s="24">
        <f>(C333)+(C334)</f>
        <v>600</v>
      </c>
      <c r="D335" s="24">
        <f t="shared" ref="D335:D340" si="12">(B335)-(C335)</f>
        <v>0</v>
      </c>
      <c r="E335" s="25">
        <f t="shared" ref="E335:E340" si="13">IF(C335=0,"",(B335)/(C335))</f>
        <v>1</v>
      </c>
    </row>
    <row r="336" spans="1:7" x14ac:dyDescent="0.25">
      <c r="A336" s="20" t="s">
        <v>345</v>
      </c>
      <c r="B336" s="22">
        <f>14600</f>
        <v>14600</v>
      </c>
      <c r="C336" s="22">
        <f>16000</f>
        <v>16000</v>
      </c>
      <c r="D336" s="22">
        <f t="shared" si="12"/>
        <v>-1400</v>
      </c>
      <c r="E336" s="23">
        <f t="shared" si="13"/>
        <v>0.91249999999999998</v>
      </c>
      <c r="F336" s="27">
        <v>16800</v>
      </c>
    </row>
    <row r="337" spans="1:6" x14ac:dyDescent="0.25">
      <c r="A337" s="20" t="s">
        <v>346</v>
      </c>
      <c r="B337" s="22">
        <f>2837.91</f>
        <v>2837.91</v>
      </c>
      <c r="C337" s="22">
        <f>4000</f>
        <v>4000</v>
      </c>
      <c r="D337" s="22">
        <f t="shared" si="12"/>
        <v>-1162.0900000000001</v>
      </c>
      <c r="E337" s="23">
        <f t="shared" si="13"/>
        <v>0.70947749999999998</v>
      </c>
      <c r="F337" s="27">
        <v>4000</v>
      </c>
    </row>
    <row r="338" spans="1:6" x14ac:dyDescent="0.25">
      <c r="A338" s="20" t="s">
        <v>347</v>
      </c>
      <c r="B338" s="24">
        <f>(((((((((((B87)+(B88))+(B89))+(B107))+(B122))+(B125))+(B129))+(B135))+(B332))+(B335))+(B336))+(B337)</f>
        <v>742509.85000000009</v>
      </c>
      <c r="C338" s="24">
        <f>(((((((((((C87)+(C88))+(C89))+(C107))+(C122))+(C125))+(C129))+(C135))+(C332))+(C335))+(C336))+(C337)</f>
        <v>864114.87</v>
      </c>
      <c r="D338" s="24">
        <f t="shared" si="12"/>
        <v>-121605.0199999999</v>
      </c>
      <c r="E338" s="25">
        <f t="shared" si="13"/>
        <v>0.85927215903598564</v>
      </c>
      <c r="F338" s="26">
        <f>SUM(F76:F337)</f>
        <v>858700</v>
      </c>
    </row>
    <row r="339" spans="1:6" x14ac:dyDescent="0.25">
      <c r="A339" s="20" t="s">
        <v>348</v>
      </c>
      <c r="B339" s="24">
        <f>(B72)-(B338)</f>
        <v>152330.79000000004</v>
      </c>
      <c r="C339" s="24">
        <f>(C72)-(C338)</f>
        <v>-12719.869999999995</v>
      </c>
      <c r="D339" s="24">
        <f t="shared" si="12"/>
        <v>165050.66000000003</v>
      </c>
      <c r="E339" s="25">
        <f t="shared" si="13"/>
        <v>-11.975813432055524</v>
      </c>
    </row>
    <row r="340" spans="1:6" x14ac:dyDescent="0.25">
      <c r="A340" s="20" t="s">
        <v>349</v>
      </c>
      <c r="B340" s="24">
        <f>(B339)+(0)</f>
        <v>152330.79000000004</v>
      </c>
      <c r="C340" s="24">
        <f>(C339)+(0)</f>
        <v>-12719.869999999995</v>
      </c>
      <c r="D340" s="24">
        <f t="shared" si="12"/>
        <v>165050.66000000003</v>
      </c>
      <c r="E340" s="25">
        <f t="shared" si="13"/>
        <v>-11.975813432055524</v>
      </c>
      <c r="F340" s="26">
        <f>F71-F338</f>
        <v>12292</v>
      </c>
    </row>
    <row r="341" spans="1:6" x14ac:dyDescent="0.25">
      <c r="A341" s="20"/>
      <c r="B341" s="21"/>
      <c r="C341" s="21"/>
      <c r="D341" s="21"/>
      <c r="E341" s="21"/>
    </row>
    <row r="344" spans="1:6" x14ac:dyDescent="0.25">
      <c r="A344" s="51" t="s">
        <v>350</v>
      </c>
      <c r="B344" s="49"/>
      <c r="C344" s="49"/>
      <c r="D344" s="49"/>
      <c r="E344" s="49"/>
    </row>
  </sheetData>
  <mergeCells count="5">
    <mergeCell ref="B5:E5"/>
    <mergeCell ref="A2:E2"/>
    <mergeCell ref="A3:E3"/>
    <mergeCell ref="A1:E1"/>
    <mergeCell ref="A344:E344"/>
  </mergeCells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DAF0A-4665-49F5-B8D9-9E18F188029F}">
  <dimension ref="A1:F17"/>
  <sheetViews>
    <sheetView workbookViewId="0"/>
  </sheetViews>
  <sheetFormatPr defaultRowHeight="15" x14ac:dyDescent="0.25"/>
  <cols>
    <col min="1" max="1" width="34.42578125" customWidth="1"/>
    <col min="2" max="2" width="11.85546875" bestFit="1" customWidth="1"/>
    <col min="3" max="3" width="12.28515625" bestFit="1" customWidth="1"/>
    <col min="4" max="4" width="11.5703125" bestFit="1" customWidth="1"/>
    <col min="6" max="6" width="26.7109375" customWidth="1"/>
  </cols>
  <sheetData>
    <row r="1" spans="1:6" x14ac:dyDescent="0.25">
      <c r="A1" s="1"/>
      <c r="B1" s="52" t="s">
        <v>3</v>
      </c>
      <c r="C1" s="47"/>
      <c r="D1" s="47"/>
      <c r="E1" s="47"/>
    </row>
    <row r="2" spans="1:6" ht="24.6" customHeight="1" x14ac:dyDescent="0.25">
      <c r="A2" s="1"/>
      <c r="B2" s="2" t="s">
        <v>4</v>
      </c>
      <c r="C2" s="2" t="s">
        <v>5</v>
      </c>
      <c r="D2" s="2" t="s">
        <v>6</v>
      </c>
      <c r="E2" s="2" t="s">
        <v>7</v>
      </c>
      <c r="F2" s="10" t="s">
        <v>397</v>
      </c>
    </row>
    <row r="3" spans="1:6" ht="15.75" x14ac:dyDescent="0.25">
      <c r="A3" s="11" t="s">
        <v>390</v>
      </c>
      <c r="B3" s="10"/>
      <c r="C3" s="10"/>
      <c r="D3" s="10"/>
      <c r="E3" s="10"/>
    </row>
    <row r="4" spans="1:6" x14ac:dyDescent="0.25">
      <c r="A4" s="3" t="s">
        <v>51</v>
      </c>
      <c r="B4" s="5">
        <f>12774.74</f>
        <v>12774.74</v>
      </c>
      <c r="C4" s="5">
        <f>37800</f>
        <v>37800</v>
      </c>
      <c r="D4" s="5">
        <f t="shared" ref="D4" si="0">(B4)-(C4)</f>
        <v>-25025.260000000002</v>
      </c>
      <c r="E4" s="6">
        <f t="shared" ref="E4" si="1">IF(C4=0,"",(B4)/(C4))</f>
        <v>0.33795608465608468</v>
      </c>
    </row>
    <row r="5" spans="1:6" ht="15.75" x14ac:dyDescent="0.25">
      <c r="A5" s="15" t="s">
        <v>391</v>
      </c>
    </row>
    <row r="6" spans="1:6" x14ac:dyDescent="0.25">
      <c r="A6" s="3" t="s">
        <v>222</v>
      </c>
      <c r="B6" s="4"/>
      <c r="C6" s="4"/>
      <c r="D6" s="5">
        <f t="shared" ref="D6:D15" si="2">(B6)-(C6)</f>
        <v>0</v>
      </c>
      <c r="E6" s="6" t="str">
        <f t="shared" ref="E6:E15" si="3">IF(C6=0,"",(B6)/(C6))</f>
        <v/>
      </c>
    </row>
    <row r="7" spans="1:6" x14ac:dyDescent="0.25">
      <c r="A7" s="3" t="s">
        <v>223</v>
      </c>
      <c r="B7" s="5">
        <f>6558.35</f>
        <v>6558.35</v>
      </c>
      <c r="C7" s="5">
        <f>5400</f>
        <v>5400</v>
      </c>
      <c r="D7" s="5">
        <f t="shared" si="2"/>
        <v>1158.3500000000004</v>
      </c>
      <c r="E7" s="6">
        <f t="shared" si="3"/>
        <v>1.2145092592592592</v>
      </c>
    </row>
    <row r="8" spans="1:6" x14ac:dyDescent="0.25">
      <c r="A8" s="3" t="s">
        <v>224</v>
      </c>
      <c r="B8" s="5">
        <f>8926.68</f>
        <v>8926.68</v>
      </c>
      <c r="C8" s="5">
        <f>16484</f>
        <v>16484</v>
      </c>
      <c r="D8" s="5">
        <f t="shared" si="2"/>
        <v>-7557.32</v>
      </c>
      <c r="E8" s="6">
        <f t="shared" si="3"/>
        <v>0.54153603494297498</v>
      </c>
    </row>
    <row r="9" spans="1:6" x14ac:dyDescent="0.25">
      <c r="A9" s="3" t="s">
        <v>226</v>
      </c>
      <c r="B9" s="5">
        <f>6213</f>
        <v>6213</v>
      </c>
      <c r="C9" s="5">
        <f>17000</f>
        <v>17000</v>
      </c>
      <c r="D9" s="5">
        <f t="shared" si="2"/>
        <v>-10787</v>
      </c>
      <c r="E9" s="6">
        <f t="shared" si="3"/>
        <v>0.3654705882352941</v>
      </c>
    </row>
    <row r="10" spans="1:6" x14ac:dyDescent="0.25">
      <c r="A10" s="3" t="s">
        <v>227</v>
      </c>
      <c r="B10" s="5">
        <f>500</f>
        <v>500</v>
      </c>
      <c r="C10" s="5">
        <f>750</f>
        <v>750</v>
      </c>
      <c r="D10" s="5">
        <f t="shared" si="2"/>
        <v>-250</v>
      </c>
      <c r="E10" s="6">
        <f t="shared" si="3"/>
        <v>0.66666666666666663</v>
      </c>
    </row>
    <row r="11" spans="1:6" x14ac:dyDescent="0.25">
      <c r="A11" s="3" t="s">
        <v>228</v>
      </c>
      <c r="B11" s="4"/>
      <c r="C11" s="5">
        <f>300</f>
        <v>300</v>
      </c>
      <c r="D11" s="5">
        <f t="shared" si="2"/>
        <v>-300</v>
      </c>
      <c r="E11" s="6">
        <f t="shared" si="3"/>
        <v>0</v>
      </c>
    </row>
    <row r="12" spans="1:6" x14ac:dyDescent="0.25">
      <c r="A12" s="3" t="s">
        <v>229</v>
      </c>
      <c r="B12" s="5">
        <f>3000</f>
        <v>3000</v>
      </c>
      <c r="C12" s="5">
        <f>3000</f>
        <v>3000</v>
      </c>
      <c r="D12" s="5">
        <f t="shared" si="2"/>
        <v>0</v>
      </c>
      <c r="E12" s="6">
        <f t="shared" si="3"/>
        <v>1</v>
      </c>
    </row>
    <row r="13" spans="1:6" x14ac:dyDescent="0.25">
      <c r="A13" s="3" t="s">
        <v>230</v>
      </c>
      <c r="B13" s="5">
        <f>7000</f>
        <v>7000</v>
      </c>
      <c r="C13" s="5">
        <f>8000</f>
        <v>8000</v>
      </c>
      <c r="D13" s="5">
        <f t="shared" si="2"/>
        <v>-1000</v>
      </c>
      <c r="E13" s="6">
        <f t="shared" si="3"/>
        <v>0.875</v>
      </c>
    </row>
    <row r="14" spans="1:6" x14ac:dyDescent="0.25">
      <c r="A14" s="3" t="s">
        <v>231</v>
      </c>
      <c r="B14" s="4"/>
      <c r="C14" s="5">
        <f>1400</f>
        <v>1400</v>
      </c>
      <c r="D14" s="5">
        <f t="shared" si="2"/>
        <v>-1400</v>
      </c>
      <c r="E14" s="6">
        <f t="shared" si="3"/>
        <v>0</v>
      </c>
    </row>
    <row r="15" spans="1:6" x14ac:dyDescent="0.25">
      <c r="A15" s="3" t="s">
        <v>232</v>
      </c>
      <c r="B15" s="7">
        <f>((((((((B6)+(B7))+(B8))+(B9))+(B10))+(B11))+(B12))+(B13))+(B14)</f>
        <v>32198.03</v>
      </c>
      <c r="C15" s="7">
        <f>((((((((C6)+(C7))+(C8))+(C9))+(C10))+(C11))+(C12))+(C13))+(C14)</f>
        <v>52334</v>
      </c>
      <c r="D15" s="7">
        <f t="shared" si="2"/>
        <v>-20135.97</v>
      </c>
      <c r="E15" s="8">
        <f t="shared" si="3"/>
        <v>0.61524114342492453</v>
      </c>
    </row>
    <row r="17" spans="1:5" x14ac:dyDescent="0.25">
      <c r="A17" s="3" t="s">
        <v>392</v>
      </c>
      <c r="B17" s="12">
        <f>B4-B15</f>
        <v>-19423.29</v>
      </c>
      <c r="C17" s="12">
        <f t="shared" ref="C17:E17" si="4">C4-C15</f>
        <v>-14534</v>
      </c>
      <c r="D17" s="12">
        <f t="shared" si="4"/>
        <v>-4889.2900000000009</v>
      </c>
      <c r="E17" s="12">
        <f t="shared" si="4"/>
        <v>-0.27728505876883985</v>
      </c>
    </row>
  </sheetData>
  <mergeCells count="1">
    <mergeCell ref="B1:E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CC23D-CA94-4056-BE3F-5FFD3A485CE4}">
  <dimension ref="A1:F35"/>
  <sheetViews>
    <sheetView zoomScale="120" zoomScaleNormal="120" workbookViewId="0"/>
  </sheetViews>
  <sheetFormatPr defaultRowHeight="15" x14ac:dyDescent="0.25"/>
  <cols>
    <col min="1" max="1" width="43.85546875" customWidth="1"/>
    <col min="2" max="2" width="11.85546875" bestFit="1" customWidth="1"/>
    <col min="3" max="3" width="12.28515625" bestFit="1" customWidth="1"/>
    <col min="4" max="4" width="11.5703125" bestFit="1" customWidth="1"/>
    <col min="5" max="5" width="11.42578125" bestFit="1" customWidth="1"/>
  </cols>
  <sheetData>
    <row r="1" spans="1:6" x14ac:dyDescent="0.25">
      <c r="A1" s="1"/>
      <c r="B1" s="52" t="s">
        <v>3</v>
      </c>
      <c r="C1" s="47"/>
      <c r="D1" s="47"/>
      <c r="E1" s="47"/>
    </row>
    <row r="2" spans="1:6" x14ac:dyDescent="0.25">
      <c r="A2" s="1"/>
      <c r="B2" s="2" t="s">
        <v>4</v>
      </c>
      <c r="C2" s="2" t="s">
        <v>5</v>
      </c>
      <c r="D2" s="2" t="s">
        <v>6</v>
      </c>
      <c r="E2" s="2" t="s">
        <v>7</v>
      </c>
    </row>
    <row r="3" spans="1:6" ht="15.75" x14ac:dyDescent="0.25">
      <c r="A3" s="11" t="s">
        <v>390</v>
      </c>
      <c r="B3" s="10"/>
      <c r="C3" s="10"/>
      <c r="D3" s="10"/>
      <c r="E3" s="10"/>
    </row>
    <row r="4" spans="1:6" x14ac:dyDescent="0.25">
      <c r="A4" s="3" t="s">
        <v>55</v>
      </c>
      <c r="B4" s="5">
        <f>19381.75</f>
        <v>19381.75</v>
      </c>
      <c r="C4" s="5">
        <f>20400</f>
        <v>20400</v>
      </c>
      <c r="D4" s="5">
        <f t="shared" ref="D4:D7" si="0">(B4)-(C4)</f>
        <v>-1018.25</v>
      </c>
      <c r="E4" s="6">
        <f t="shared" ref="E4:E7" si="1">IF(C4=0,"",(B4)/(C4))</f>
        <v>0.95008578431372548</v>
      </c>
      <c r="F4" t="s">
        <v>398</v>
      </c>
    </row>
    <row r="5" spans="1:6" x14ac:dyDescent="0.25">
      <c r="A5" s="3" t="s">
        <v>56</v>
      </c>
      <c r="B5" s="5">
        <f>177</f>
        <v>177</v>
      </c>
      <c r="C5" s="5">
        <f>100</f>
        <v>100</v>
      </c>
      <c r="D5" s="5">
        <f t="shared" si="0"/>
        <v>77</v>
      </c>
      <c r="E5" s="6">
        <f t="shared" si="1"/>
        <v>1.77</v>
      </c>
    </row>
    <row r="6" spans="1:6" x14ac:dyDescent="0.25">
      <c r="A6" s="3" t="s">
        <v>57</v>
      </c>
      <c r="B6" s="7">
        <f>(B4)+(B5)</f>
        <v>19558.75</v>
      </c>
      <c r="C6" s="7">
        <f>(C4)+(C5)</f>
        <v>20500</v>
      </c>
      <c r="D6" s="7">
        <f t="shared" si="0"/>
        <v>-941.25</v>
      </c>
      <c r="E6" s="8">
        <f t="shared" si="1"/>
        <v>0.95408536585365855</v>
      </c>
    </row>
    <row r="7" spans="1:6" x14ac:dyDescent="0.25">
      <c r="A7" s="3" t="s">
        <v>58</v>
      </c>
      <c r="B7" s="5">
        <f>3472</f>
        <v>3472</v>
      </c>
      <c r="C7" s="5">
        <f>5100</f>
        <v>5100</v>
      </c>
      <c r="D7" s="5">
        <f t="shared" si="0"/>
        <v>-1628</v>
      </c>
      <c r="E7" s="6">
        <f t="shared" si="1"/>
        <v>0.6807843137254902</v>
      </c>
      <c r="F7" t="s">
        <v>399</v>
      </c>
    </row>
    <row r="8" spans="1:6" x14ac:dyDescent="0.25">
      <c r="A8" s="3"/>
      <c r="B8" s="5">
        <f>SUM(B6:B7)</f>
        <v>23030.75</v>
      </c>
      <c r="C8" s="5">
        <f>SUM(C6:C7)</f>
        <v>25600</v>
      </c>
      <c r="D8" s="5">
        <f>SUM(D6:D7)</f>
        <v>-2569.25</v>
      </c>
      <c r="E8" s="6"/>
    </row>
    <row r="9" spans="1:6" ht="15.75" x14ac:dyDescent="0.25">
      <c r="A9" s="16" t="s">
        <v>391</v>
      </c>
    </row>
    <row r="10" spans="1:6" x14ac:dyDescent="0.25">
      <c r="A10" s="3" t="s">
        <v>243</v>
      </c>
      <c r="B10" s="4"/>
      <c r="C10" s="4"/>
      <c r="D10" s="5">
        <f t="shared" ref="D10:D30" si="2">(B10)-(C10)</f>
        <v>0</v>
      </c>
      <c r="E10" s="6" t="str">
        <f t="shared" ref="E10:E30" si="3">IF(C10=0,"",(B10)/(C10))</f>
        <v/>
      </c>
    </row>
    <row r="11" spans="1:6" x14ac:dyDescent="0.25">
      <c r="A11" s="3" t="s">
        <v>244</v>
      </c>
      <c r="B11" s="4"/>
      <c r="C11" s="5">
        <f>120</f>
        <v>120</v>
      </c>
      <c r="D11" s="5">
        <f t="shared" si="2"/>
        <v>-120</v>
      </c>
      <c r="E11" s="6">
        <f t="shared" si="3"/>
        <v>0</v>
      </c>
    </row>
    <row r="12" spans="1:6" x14ac:dyDescent="0.25">
      <c r="A12" s="3" t="s">
        <v>245</v>
      </c>
      <c r="B12" s="5">
        <f>300</f>
        <v>300</v>
      </c>
      <c r="C12" s="5">
        <f>200</f>
        <v>200</v>
      </c>
      <c r="D12" s="5">
        <f t="shared" si="2"/>
        <v>100</v>
      </c>
      <c r="E12" s="6">
        <f t="shared" si="3"/>
        <v>1.5</v>
      </c>
    </row>
    <row r="13" spans="1:6" x14ac:dyDescent="0.25">
      <c r="A13" s="3" t="s">
        <v>246</v>
      </c>
      <c r="B13" s="4"/>
      <c r="C13" s="4"/>
      <c r="D13" s="5">
        <f t="shared" si="2"/>
        <v>0</v>
      </c>
      <c r="E13" s="6" t="str">
        <f t="shared" si="3"/>
        <v/>
      </c>
    </row>
    <row r="14" spans="1:6" x14ac:dyDescent="0.25">
      <c r="A14" s="3" t="s">
        <v>247</v>
      </c>
      <c r="B14" s="5">
        <f>750</f>
        <v>750</v>
      </c>
      <c r="C14" s="5">
        <f>750</f>
        <v>750</v>
      </c>
      <c r="D14" s="5">
        <f t="shared" si="2"/>
        <v>0</v>
      </c>
      <c r="E14" s="6">
        <f t="shared" si="3"/>
        <v>1</v>
      </c>
    </row>
    <row r="15" spans="1:6" x14ac:dyDescent="0.25">
      <c r="A15" s="3" t="s">
        <v>248</v>
      </c>
      <c r="B15" s="5">
        <f>1200</f>
        <v>1200</v>
      </c>
      <c r="C15" s="5">
        <f>1325</f>
        <v>1325</v>
      </c>
      <c r="D15" s="5">
        <f t="shared" si="2"/>
        <v>-125</v>
      </c>
      <c r="E15" s="6">
        <f t="shared" si="3"/>
        <v>0.90566037735849059</v>
      </c>
    </row>
    <row r="16" spans="1:6" x14ac:dyDescent="0.25">
      <c r="A16" s="3" t="s">
        <v>249</v>
      </c>
      <c r="B16" s="5">
        <f>17000</f>
        <v>17000</v>
      </c>
      <c r="C16" s="5">
        <f>20748</f>
        <v>20748</v>
      </c>
      <c r="D16" s="5">
        <f t="shared" si="2"/>
        <v>-3748</v>
      </c>
      <c r="E16" s="6">
        <f t="shared" si="3"/>
        <v>0.81935608251397729</v>
      </c>
    </row>
    <row r="17" spans="1:5" x14ac:dyDescent="0.25">
      <c r="A17" s="3" t="s">
        <v>250</v>
      </c>
      <c r="B17" s="5">
        <f>1363.84</f>
        <v>1363.84</v>
      </c>
      <c r="C17" s="5">
        <f>1700</f>
        <v>1700</v>
      </c>
      <c r="D17" s="5">
        <f t="shared" si="2"/>
        <v>-336.16000000000008</v>
      </c>
      <c r="E17" s="6">
        <f t="shared" si="3"/>
        <v>0.80225882352941169</v>
      </c>
    </row>
    <row r="18" spans="1:5" x14ac:dyDescent="0.25">
      <c r="A18" s="3" t="s">
        <v>251</v>
      </c>
      <c r="B18" s="5">
        <f>150</f>
        <v>150</v>
      </c>
      <c r="C18" s="5">
        <f>150</f>
        <v>150</v>
      </c>
      <c r="D18" s="5">
        <f t="shared" si="2"/>
        <v>0</v>
      </c>
      <c r="E18" s="6">
        <f t="shared" si="3"/>
        <v>1</v>
      </c>
    </row>
    <row r="19" spans="1:5" x14ac:dyDescent="0.25">
      <c r="A19" s="3" t="s">
        <v>252</v>
      </c>
      <c r="B19" s="5">
        <f>3350</f>
        <v>3350</v>
      </c>
      <c r="C19" s="5">
        <f>3200</f>
        <v>3200</v>
      </c>
      <c r="D19" s="5">
        <f t="shared" si="2"/>
        <v>150</v>
      </c>
      <c r="E19" s="6">
        <f t="shared" si="3"/>
        <v>1.046875</v>
      </c>
    </row>
    <row r="20" spans="1:5" x14ac:dyDescent="0.25">
      <c r="A20" s="3" t="s">
        <v>253</v>
      </c>
      <c r="B20" s="5">
        <f>762.21</f>
        <v>762.21</v>
      </c>
      <c r="C20" s="5">
        <f>750</f>
        <v>750</v>
      </c>
      <c r="D20" s="5">
        <f t="shared" si="2"/>
        <v>12.210000000000036</v>
      </c>
      <c r="E20" s="6">
        <f t="shared" si="3"/>
        <v>1.0162800000000001</v>
      </c>
    </row>
    <row r="21" spans="1:5" x14ac:dyDescent="0.25">
      <c r="A21" s="3" t="s">
        <v>254</v>
      </c>
      <c r="B21" s="7">
        <f>(((((((B13)+(B14))+(B15))+(B16))+(B17))+(B18))+(B19))+(B20)</f>
        <v>24576.05</v>
      </c>
      <c r="C21" s="7">
        <f>(((((((C13)+(C14))+(C15))+(C16))+(C17))+(C18))+(C19))+(C20)</f>
        <v>28623</v>
      </c>
      <c r="D21" s="7">
        <f t="shared" si="2"/>
        <v>-4046.9500000000007</v>
      </c>
      <c r="E21" s="8">
        <f t="shared" si="3"/>
        <v>0.85861195542046609</v>
      </c>
    </row>
    <row r="22" spans="1:5" x14ac:dyDescent="0.25">
      <c r="A22" s="3" t="s">
        <v>255</v>
      </c>
      <c r="B22" s="4"/>
      <c r="C22" s="4"/>
      <c r="D22" s="5">
        <f t="shared" si="2"/>
        <v>0</v>
      </c>
      <c r="E22" s="6" t="str">
        <f t="shared" si="3"/>
        <v/>
      </c>
    </row>
    <row r="23" spans="1:5" x14ac:dyDescent="0.25">
      <c r="A23" s="3" t="s">
        <v>256</v>
      </c>
      <c r="B23" s="5">
        <f>225</f>
        <v>225</v>
      </c>
      <c r="C23" s="5">
        <f>225</f>
        <v>225</v>
      </c>
      <c r="D23" s="5">
        <f t="shared" si="2"/>
        <v>0</v>
      </c>
      <c r="E23" s="6">
        <f t="shared" si="3"/>
        <v>1</v>
      </c>
    </row>
    <row r="24" spans="1:5" x14ac:dyDescent="0.25">
      <c r="A24" s="3" t="s">
        <v>257</v>
      </c>
      <c r="B24" s="5">
        <f>2800</f>
        <v>2800</v>
      </c>
      <c r="C24" s="5">
        <f>5252</f>
        <v>5252</v>
      </c>
      <c r="D24" s="5">
        <f t="shared" si="2"/>
        <v>-2452</v>
      </c>
      <c r="E24" s="6">
        <f t="shared" si="3"/>
        <v>0.53313023610053312</v>
      </c>
    </row>
    <row r="25" spans="1:5" x14ac:dyDescent="0.25">
      <c r="A25" s="3" t="s">
        <v>258</v>
      </c>
      <c r="B25" s="5">
        <f>750</f>
        <v>750</v>
      </c>
      <c r="C25" s="5">
        <f>766</f>
        <v>766</v>
      </c>
      <c r="D25" s="5">
        <f t="shared" si="2"/>
        <v>-16</v>
      </c>
      <c r="E25" s="6">
        <f t="shared" si="3"/>
        <v>0.97911227154046998</v>
      </c>
    </row>
    <row r="26" spans="1:5" x14ac:dyDescent="0.25">
      <c r="A26" s="3" t="s">
        <v>259</v>
      </c>
      <c r="B26" s="5">
        <f>150</f>
        <v>150</v>
      </c>
      <c r="C26" s="5">
        <f>150</f>
        <v>150</v>
      </c>
      <c r="D26" s="5">
        <f t="shared" si="2"/>
        <v>0</v>
      </c>
      <c r="E26" s="6">
        <f t="shared" si="3"/>
        <v>1</v>
      </c>
    </row>
    <row r="27" spans="1:5" x14ac:dyDescent="0.25">
      <c r="A27" s="3" t="s">
        <v>260</v>
      </c>
      <c r="B27" s="5">
        <f>775</f>
        <v>775</v>
      </c>
      <c r="C27" s="5">
        <f>775</f>
        <v>775</v>
      </c>
      <c r="D27" s="5">
        <f t="shared" si="2"/>
        <v>0</v>
      </c>
      <c r="E27" s="6">
        <f t="shared" si="3"/>
        <v>1</v>
      </c>
    </row>
    <row r="28" spans="1:5" x14ac:dyDescent="0.25">
      <c r="A28" s="3" t="s">
        <v>261</v>
      </c>
      <c r="B28" s="5">
        <f>850</f>
        <v>850</v>
      </c>
      <c r="C28" s="5">
        <f>750</f>
        <v>750</v>
      </c>
      <c r="D28" s="5">
        <f t="shared" si="2"/>
        <v>100</v>
      </c>
      <c r="E28" s="6">
        <f t="shared" si="3"/>
        <v>1.1333333333333333</v>
      </c>
    </row>
    <row r="29" spans="1:5" x14ac:dyDescent="0.25">
      <c r="A29" s="3" t="s">
        <v>262</v>
      </c>
      <c r="B29" s="7">
        <f>((((((B22)+(B23))+(B24))+(B25))+(B26))+(B27))+(B28)</f>
        <v>5550</v>
      </c>
      <c r="C29" s="7">
        <f>((((((C22)+(C23))+(C24))+(C25))+(C26))+(C27))+(C28)</f>
        <v>7918</v>
      </c>
      <c r="D29" s="7">
        <f t="shared" si="2"/>
        <v>-2368</v>
      </c>
      <c r="E29" s="8">
        <f t="shared" si="3"/>
        <v>0.7009345794392523</v>
      </c>
    </row>
    <row r="30" spans="1:5" x14ac:dyDescent="0.25">
      <c r="A30" s="3" t="s">
        <v>263</v>
      </c>
      <c r="B30" s="7">
        <f>((((B10)+(B11))+(B12))+(B21))+(B29)</f>
        <v>30426.05</v>
      </c>
      <c r="C30" s="7">
        <f>((((C10)+(C11))+(C12))+(C21))+(C29)</f>
        <v>36861</v>
      </c>
      <c r="D30" s="7">
        <f t="shared" si="2"/>
        <v>-6434.9500000000007</v>
      </c>
      <c r="E30" s="8">
        <f t="shared" si="3"/>
        <v>0.82542660264235912</v>
      </c>
    </row>
    <row r="31" spans="1:5" x14ac:dyDescent="0.25">
      <c r="A31" s="3"/>
      <c r="B31" s="7"/>
      <c r="C31" s="7"/>
      <c r="D31" s="7"/>
      <c r="E31" s="8"/>
    </row>
    <row r="33" spans="1:4" x14ac:dyDescent="0.25">
      <c r="A33" s="3" t="s">
        <v>392</v>
      </c>
      <c r="B33" s="12">
        <f>B8-B30</f>
        <v>-7395.2999999999993</v>
      </c>
      <c r="C33" s="12">
        <f>C8-C30</f>
        <v>-11261</v>
      </c>
      <c r="D33" s="12">
        <f>D8-D30</f>
        <v>3865.7000000000007</v>
      </c>
    </row>
    <row r="35" spans="1:4" x14ac:dyDescent="0.25">
      <c r="A35" s="3"/>
    </row>
  </sheetData>
  <mergeCells count="1">
    <mergeCell ref="B1:E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99467-22E0-4F85-8938-01FA5F5E3B99}">
  <dimension ref="A1:F17"/>
  <sheetViews>
    <sheetView workbookViewId="0"/>
  </sheetViews>
  <sheetFormatPr defaultRowHeight="15" x14ac:dyDescent="0.25"/>
  <cols>
    <col min="1" max="1" width="37.140625" customWidth="1"/>
    <col min="2" max="3" width="12.28515625" bestFit="1" customWidth="1"/>
    <col min="4" max="4" width="11" bestFit="1" customWidth="1"/>
  </cols>
  <sheetData>
    <row r="1" spans="1:6" x14ac:dyDescent="0.25">
      <c r="A1" s="1"/>
      <c r="B1" s="52" t="s">
        <v>3</v>
      </c>
      <c r="C1" s="47"/>
      <c r="D1" s="47"/>
      <c r="E1" s="47"/>
    </row>
    <row r="2" spans="1:6" ht="36.75" x14ac:dyDescent="0.25">
      <c r="A2" s="1"/>
      <c r="B2" s="2" t="s">
        <v>4</v>
      </c>
      <c r="C2" s="2" t="s">
        <v>5</v>
      </c>
      <c r="D2" s="2" t="s">
        <v>6</v>
      </c>
      <c r="E2" s="2" t="s">
        <v>7</v>
      </c>
      <c r="F2" s="10" t="s">
        <v>400</v>
      </c>
    </row>
    <row r="3" spans="1:6" ht="15.75" x14ac:dyDescent="0.25">
      <c r="A3" s="11" t="s">
        <v>390</v>
      </c>
      <c r="B3" s="10"/>
      <c r="C3" s="10"/>
      <c r="D3" s="10"/>
      <c r="E3" s="10"/>
    </row>
    <row r="4" spans="1:6" x14ac:dyDescent="0.25">
      <c r="A4" s="3" t="s">
        <v>59</v>
      </c>
      <c r="B4" s="5">
        <f>12196.25</f>
        <v>12196.25</v>
      </c>
      <c r="C4" s="5">
        <f>18200</f>
        <v>18200</v>
      </c>
      <c r="D4" s="5">
        <f t="shared" ref="D4" si="0">(B4)-(C4)</f>
        <v>-6003.75</v>
      </c>
      <c r="E4" s="6">
        <f t="shared" ref="E4" si="1">IF(C4=0,"",(B4)/(C4))</f>
        <v>0.67012362637362632</v>
      </c>
    </row>
    <row r="5" spans="1:6" ht="15.75" x14ac:dyDescent="0.25">
      <c r="A5" s="15" t="s">
        <v>391</v>
      </c>
    </row>
    <row r="6" spans="1:6" x14ac:dyDescent="0.25">
      <c r="A6" s="3" t="s">
        <v>265</v>
      </c>
      <c r="B6" s="4"/>
      <c r="C6" s="4"/>
      <c r="D6" s="5">
        <f t="shared" ref="D6:D16" si="2">(B6)-(C6)</f>
        <v>0</v>
      </c>
      <c r="E6" s="6" t="str">
        <f t="shared" ref="E6:E16" si="3">IF(C6=0,"",(B6)/(C6))</f>
        <v/>
      </c>
    </row>
    <row r="7" spans="1:6" x14ac:dyDescent="0.25">
      <c r="A7" s="3" t="s">
        <v>266</v>
      </c>
      <c r="B7" s="5">
        <f>6558.35</f>
        <v>6558.35</v>
      </c>
      <c r="C7" s="5">
        <f>3200</f>
        <v>3200</v>
      </c>
      <c r="D7" s="5">
        <f t="shared" si="2"/>
        <v>3358.3500000000004</v>
      </c>
      <c r="E7" s="6">
        <f t="shared" si="3"/>
        <v>2.049484375</v>
      </c>
    </row>
    <row r="8" spans="1:6" x14ac:dyDescent="0.25">
      <c r="A8" s="3" t="s">
        <v>267</v>
      </c>
      <c r="B8" s="4"/>
      <c r="C8" s="5">
        <f>600</f>
        <v>600</v>
      </c>
      <c r="D8" s="5">
        <f t="shared" si="2"/>
        <v>-600</v>
      </c>
      <c r="E8" s="6">
        <f t="shared" si="3"/>
        <v>0</v>
      </c>
    </row>
    <row r="9" spans="1:6" x14ac:dyDescent="0.25">
      <c r="A9" s="3" t="s">
        <v>268</v>
      </c>
      <c r="B9" s="5">
        <f>4920</f>
        <v>4920</v>
      </c>
      <c r="C9" s="5">
        <f>7956</f>
        <v>7956</v>
      </c>
      <c r="D9" s="5">
        <f t="shared" si="2"/>
        <v>-3036</v>
      </c>
      <c r="E9" s="6">
        <f t="shared" si="3"/>
        <v>0.61840120663650078</v>
      </c>
    </row>
    <row r="10" spans="1:6" x14ac:dyDescent="0.25">
      <c r="A10" s="3" t="s">
        <v>269</v>
      </c>
      <c r="B10" s="5">
        <f>5636.63</f>
        <v>5636.63</v>
      </c>
      <c r="C10" s="5">
        <f>7000</f>
        <v>7000</v>
      </c>
      <c r="D10" s="5">
        <f t="shared" si="2"/>
        <v>-1363.37</v>
      </c>
      <c r="E10" s="6">
        <f t="shared" si="3"/>
        <v>0.80523285714285719</v>
      </c>
    </row>
    <row r="11" spans="1:6" x14ac:dyDescent="0.25">
      <c r="A11" s="3" t="s">
        <v>270</v>
      </c>
      <c r="B11" s="4"/>
      <c r="C11" s="5">
        <f>300</f>
        <v>300</v>
      </c>
      <c r="D11" s="5">
        <f t="shared" si="2"/>
        <v>-300</v>
      </c>
      <c r="E11" s="6">
        <f t="shared" si="3"/>
        <v>0</v>
      </c>
    </row>
    <row r="12" spans="1:6" x14ac:dyDescent="0.25">
      <c r="A12" s="3" t="s">
        <v>271</v>
      </c>
      <c r="B12" s="5">
        <f>687.6</f>
        <v>687.6</v>
      </c>
      <c r="C12" s="5">
        <f>750</f>
        <v>750</v>
      </c>
      <c r="D12" s="5">
        <f t="shared" si="2"/>
        <v>-62.399999999999977</v>
      </c>
      <c r="E12" s="6">
        <f t="shared" si="3"/>
        <v>0.91680000000000006</v>
      </c>
    </row>
    <row r="13" spans="1:6" x14ac:dyDescent="0.25">
      <c r="A13" s="3" t="s">
        <v>272</v>
      </c>
      <c r="B13" s="4"/>
      <c r="C13" s="5">
        <f>200</f>
        <v>200</v>
      </c>
      <c r="D13" s="5">
        <f t="shared" si="2"/>
        <v>-200</v>
      </c>
      <c r="E13" s="6">
        <f t="shared" si="3"/>
        <v>0</v>
      </c>
    </row>
    <row r="14" spans="1:6" x14ac:dyDescent="0.25">
      <c r="A14" s="3" t="s">
        <v>273</v>
      </c>
      <c r="B14" s="5">
        <f>1500</f>
        <v>1500</v>
      </c>
      <c r="C14" s="5">
        <f>1550</f>
        <v>1550</v>
      </c>
      <c r="D14" s="5">
        <f t="shared" si="2"/>
        <v>-50</v>
      </c>
      <c r="E14" s="6">
        <f t="shared" si="3"/>
        <v>0.967741935483871</v>
      </c>
    </row>
    <row r="15" spans="1:6" x14ac:dyDescent="0.25">
      <c r="A15" s="3" t="s">
        <v>274</v>
      </c>
      <c r="B15" s="5">
        <f>8725</f>
        <v>8725</v>
      </c>
      <c r="C15" s="5">
        <f>5000</f>
        <v>5000</v>
      </c>
      <c r="D15" s="5">
        <f t="shared" si="2"/>
        <v>3725</v>
      </c>
      <c r="E15" s="6">
        <f t="shared" si="3"/>
        <v>1.7450000000000001</v>
      </c>
    </row>
    <row r="16" spans="1:6" x14ac:dyDescent="0.25">
      <c r="A16" s="3" t="s">
        <v>275</v>
      </c>
      <c r="B16" s="7">
        <f>(((((((((B6)+(B7))+(B8))+(B9))+(B10))+(B11))+(B12))+(B13))+(B14))+(B15)</f>
        <v>28027.579999999998</v>
      </c>
      <c r="C16" s="7">
        <f>(((((((((C6)+(C7))+(C8))+(C9))+(C10))+(C11))+(C12))+(C13))+(C14))+(C15)</f>
        <v>26556</v>
      </c>
      <c r="D16" s="7">
        <f t="shared" si="2"/>
        <v>1471.5799999999981</v>
      </c>
      <c r="E16" s="8">
        <f t="shared" si="3"/>
        <v>1.0554142190088869</v>
      </c>
    </row>
    <row r="17" spans="1:5" x14ac:dyDescent="0.25">
      <c r="A17" s="3" t="s">
        <v>392</v>
      </c>
      <c r="B17" s="12">
        <f>B4-B16</f>
        <v>-15831.329999999998</v>
      </c>
      <c r="C17" s="12">
        <f>C4-C16</f>
        <v>-8356</v>
      </c>
      <c r="D17" s="12">
        <f>D4-D16</f>
        <v>-7475.3299999999981</v>
      </c>
      <c r="E17" s="12">
        <f t="shared" ref="E17" si="4">E4-E15</f>
        <v>-1.0748763736263738</v>
      </c>
    </row>
  </sheetData>
  <mergeCells count="1">
    <mergeCell ref="B1:E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2B23D-35F1-413F-9CF3-2427F80E16E6}">
  <dimension ref="A1:F17"/>
  <sheetViews>
    <sheetView workbookViewId="0"/>
  </sheetViews>
  <sheetFormatPr defaultRowHeight="15" x14ac:dyDescent="0.25"/>
  <cols>
    <col min="1" max="1" width="43.28515625" customWidth="1"/>
    <col min="2" max="2" width="11.85546875" bestFit="1" customWidth="1"/>
    <col min="3" max="3" width="12.28515625" bestFit="1" customWidth="1"/>
    <col min="4" max="4" width="11.5703125" bestFit="1" customWidth="1"/>
    <col min="6" max="6" width="35.7109375" customWidth="1"/>
  </cols>
  <sheetData>
    <row r="1" spans="1:6" x14ac:dyDescent="0.25">
      <c r="A1" s="1"/>
      <c r="B1" s="52" t="s">
        <v>3</v>
      </c>
      <c r="C1" s="47"/>
      <c r="D1" s="47"/>
      <c r="E1" s="47"/>
    </row>
    <row r="2" spans="1:6" ht="24.75" x14ac:dyDescent="0.25">
      <c r="A2" s="1"/>
      <c r="B2" s="2" t="s">
        <v>4</v>
      </c>
      <c r="C2" s="2" t="s">
        <v>5</v>
      </c>
      <c r="D2" s="2" t="s">
        <v>6</v>
      </c>
      <c r="E2" s="2" t="s">
        <v>7</v>
      </c>
      <c r="F2" s="10" t="s">
        <v>401</v>
      </c>
    </row>
    <row r="3" spans="1:6" ht="15.75" x14ac:dyDescent="0.25">
      <c r="A3" s="11" t="s">
        <v>390</v>
      </c>
      <c r="B3" s="10"/>
      <c r="C3" s="10"/>
      <c r="D3" s="10"/>
      <c r="E3" s="10"/>
    </row>
    <row r="4" spans="1:6" x14ac:dyDescent="0.25">
      <c r="A4" s="3" t="s">
        <v>60</v>
      </c>
      <c r="B4" s="5">
        <f>8113.97</f>
        <v>8113.97</v>
      </c>
      <c r="C4" s="5">
        <f>11900</f>
        <v>11900</v>
      </c>
      <c r="D4" s="5">
        <f t="shared" ref="D4" si="0">(B4)-(C4)</f>
        <v>-3786.0299999999997</v>
      </c>
      <c r="E4" s="6">
        <f t="shared" ref="E4" si="1">IF(C4=0,"",(B4)/(C4))</f>
        <v>0.68184621848739502</v>
      </c>
    </row>
    <row r="5" spans="1:6" ht="15.75" x14ac:dyDescent="0.25">
      <c r="A5" s="15" t="s">
        <v>391</v>
      </c>
    </row>
    <row r="6" spans="1:6" x14ac:dyDescent="0.25">
      <c r="A6" s="3" t="s">
        <v>276</v>
      </c>
      <c r="B6" s="4"/>
      <c r="C6" s="4"/>
      <c r="D6" s="5">
        <f t="shared" ref="D6:D16" si="2">(B6)-(C6)</f>
        <v>0</v>
      </c>
      <c r="E6" s="6" t="str">
        <f t="shared" ref="E6:E16" si="3">IF(C6=0,"",(B6)/(C6))</f>
        <v/>
      </c>
    </row>
    <row r="7" spans="1:6" x14ac:dyDescent="0.25">
      <c r="A7" s="3" t="s">
        <v>277</v>
      </c>
      <c r="B7" s="5">
        <f>3000</f>
        <v>3000</v>
      </c>
      <c r="C7" s="5">
        <f>3200</f>
        <v>3200</v>
      </c>
      <c r="D7" s="5">
        <f t="shared" si="2"/>
        <v>-200</v>
      </c>
      <c r="E7" s="6">
        <f t="shared" si="3"/>
        <v>0.9375</v>
      </c>
    </row>
    <row r="8" spans="1:6" x14ac:dyDescent="0.25">
      <c r="A8" s="3" t="s">
        <v>278</v>
      </c>
      <c r="B8" s="5">
        <f>300</f>
        <v>300</v>
      </c>
      <c r="C8" s="5">
        <f>450</f>
        <v>450</v>
      </c>
      <c r="D8" s="5">
        <f t="shared" si="2"/>
        <v>-150</v>
      </c>
      <c r="E8" s="6">
        <f t="shared" si="3"/>
        <v>0.66666666666666663</v>
      </c>
    </row>
    <row r="9" spans="1:6" x14ac:dyDescent="0.25">
      <c r="A9" s="3" t="s">
        <v>279</v>
      </c>
      <c r="B9" s="5">
        <f>2600</f>
        <v>2600</v>
      </c>
      <c r="C9" s="5">
        <f>5252</f>
        <v>5252</v>
      </c>
      <c r="D9" s="5">
        <f t="shared" si="2"/>
        <v>-2652</v>
      </c>
      <c r="E9" s="6">
        <f t="shared" si="3"/>
        <v>0.49504950495049505</v>
      </c>
    </row>
    <row r="10" spans="1:6" x14ac:dyDescent="0.25">
      <c r="A10" s="3" t="s">
        <v>280</v>
      </c>
      <c r="B10" s="5">
        <f>5636.62</f>
        <v>5636.62</v>
      </c>
      <c r="C10" s="5">
        <f>7000</f>
        <v>7000</v>
      </c>
      <c r="D10" s="5">
        <f t="shared" si="2"/>
        <v>-1363.38</v>
      </c>
      <c r="E10" s="6">
        <f t="shared" si="3"/>
        <v>0.8052314285714286</v>
      </c>
    </row>
    <row r="11" spans="1:6" x14ac:dyDescent="0.25">
      <c r="A11" s="3" t="s">
        <v>281</v>
      </c>
      <c r="B11" s="4"/>
      <c r="C11" s="5">
        <f>300</f>
        <v>300</v>
      </c>
      <c r="D11" s="5">
        <f t="shared" si="2"/>
        <v>-300</v>
      </c>
      <c r="E11" s="6">
        <f t="shared" si="3"/>
        <v>0</v>
      </c>
    </row>
    <row r="12" spans="1:6" x14ac:dyDescent="0.25">
      <c r="A12" s="3" t="s">
        <v>282</v>
      </c>
      <c r="B12" s="5">
        <f>250</f>
        <v>250</v>
      </c>
      <c r="C12" s="5">
        <f>375</f>
        <v>375</v>
      </c>
      <c r="D12" s="5">
        <f t="shared" si="2"/>
        <v>-125</v>
      </c>
      <c r="E12" s="6">
        <f t="shared" si="3"/>
        <v>0.66666666666666663</v>
      </c>
    </row>
    <row r="13" spans="1:6" x14ac:dyDescent="0.25">
      <c r="A13" s="3" t="s">
        <v>283</v>
      </c>
      <c r="B13" s="4"/>
      <c r="C13" s="5">
        <f>200</f>
        <v>200</v>
      </c>
      <c r="D13" s="5">
        <f t="shared" si="2"/>
        <v>-200</v>
      </c>
      <c r="E13" s="6">
        <f t="shared" si="3"/>
        <v>0</v>
      </c>
    </row>
    <row r="14" spans="1:6" x14ac:dyDescent="0.25">
      <c r="A14" s="3" t="s">
        <v>284</v>
      </c>
      <c r="B14" s="5">
        <f>750</f>
        <v>750</v>
      </c>
      <c r="C14" s="5">
        <f>775</f>
        <v>775</v>
      </c>
      <c r="D14" s="5">
        <f t="shared" si="2"/>
        <v>-25</v>
      </c>
      <c r="E14" s="6">
        <f t="shared" si="3"/>
        <v>0.967741935483871</v>
      </c>
    </row>
    <row r="15" spans="1:6" x14ac:dyDescent="0.25">
      <c r="A15" s="3" t="s">
        <v>285</v>
      </c>
      <c r="B15" s="5">
        <f>8725</f>
        <v>8725</v>
      </c>
      <c r="C15" s="5">
        <f>5000</f>
        <v>5000</v>
      </c>
      <c r="D15" s="5">
        <f t="shared" si="2"/>
        <v>3725</v>
      </c>
      <c r="E15" s="6">
        <f t="shared" si="3"/>
        <v>1.7450000000000001</v>
      </c>
    </row>
    <row r="16" spans="1:6" x14ac:dyDescent="0.25">
      <c r="A16" s="3" t="s">
        <v>286</v>
      </c>
      <c r="B16" s="7">
        <f>(((((((((B6)+(B7))+(B8))+(B9))+(B10))+(B11))+(B12))+(B13))+(B14))+(B15)</f>
        <v>21261.62</v>
      </c>
      <c r="C16" s="7">
        <f>(((((((((C6)+(C7))+(C8))+(C9))+(C10))+(C11))+(C12))+(C13))+(C14))+(C15)</f>
        <v>22552</v>
      </c>
      <c r="D16" s="7">
        <f t="shared" si="2"/>
        <v>-1290.380000000001</v>
      </c>
      <c r="E16" s="8">
        <f t="shared" si="3"/>
        <v>0.94278201489890023</v>
      </c>
    </row>
    <row r="17" spans="1:5" x14ac:dyDescent="0.25">
      <c r="A17" s="3" t="s">
        <v>392</v>
      </c>
      <c r="B17" s="12">
        <f>B4-B16</f>
        <v>-13147.649999999998</v>
      </c>
      <c r="C17" s="12">
        <f t="shared" ref="C17:E17" si="4">C4-C16</f>
        <v>-10652</v>
      </c>
      <c r="D17" s="12">
        <f t="shared" si="4"/>
        <v>-2495.6499999999987</v>
      </c>
      <c r="E17" s="12">
        <f t="shared" si="4"/>
        <v>-0.26093579641150522</v>
      </c>
    </row>
  </sheetData>
  <mergeCells count="1">
    <mergeCell ref="B1:E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00531-C896-491F-A4BE-CB901853A6C0}">
  <dimension ref="A1:F15"/>
  <sheetViews>
    <sheetView workbookViewId="0"/>
  </sheetViews>
  <sheetFormatPr defaultRowHeight="15" x14ac:dyDescent="0.25"/>
  <cols>
    <col min="1" max="1" width="37.28515625" customWidth="1"/>
    <col min="2" max="3" width="12.28515625" bestFit="1" customWidth="1"/>
    <col min="4" max="4" width="11" bestFit="1" customWidth="1"/>
  </cols>
  <sheetData>
    <row r="1" spans="1:6" x14ac:dyDescent="0.25">
      <c r="A1" s="1"/>
      <c r="B1" s="52" t="s">
        <v>3</v>
      </c>
      <c r="C1" s="47"/>
      <c r="D1" s="47"/>
      <c r="E1" s="47"/>
    </row>
    <row r="2" spans="1:6" ht="60.75" x14ac:dyDescent="0.25">
      <c r="A2" s="1"/>
      <c r="B2" s="2" t="s">
        <v>4</v>
      </c>
      <c r="C2" s="2" t="s">
        <v>5</v>
      </c>
      <c r="D2" s="2" t="s">
        <v>6</v>
      </c>
      <c r="E2" s="2" t="s">
        <v>7</v>
      </c>
      <c r="F2" s="10" t="s">
        <v>402</v>
      </c>
    </row>
    <row r="3" spans="1:6" ht="15.75" x14ac:dyDescent="0.25">
      <c r="A3" s="11" t="s">
        <v>390</v>
      </c>
      <c r="B3" s="10"/>
      <c r="C3" s="10"/>
      <c r="D3" s="10"/>
      <c r="E3" s="10"/>
    </row>
    <row r="4" spans="1:6" x14ac:dyDescent="0.25">
      <c r="A4" s="3" t="s">
        <v>61</v>
      </c>
      <c r="B4" s="5">
        <f>3187.02</f>
        <v>3187.02</v>
      </c>
      <c r="C4" s="5">
        <f>21088</f>
        <v>21088</v>
      </c>
      <c r="D4" s="5">
        <f t="shared" ref="D4" si="0">(B4)-(C4)</f>
        <v>-17900.98</v>
      </c>
      <c r="E4" s="6">
        <f t="shared" ref="E4" si="1">IF(C4=0,"",(B4)/(C4))</f>
        <v>0.15112955235204856</v>
      </c>
    </row>
    <row r="5" spans="1:6" ht="15.75" x14ac:dyDescent="0.25">
      <c r="A5" s="15" t="s">
        <v>391</v>
      </c>
    </row>
    <row r="6" spans="1:6" x14ac:dyDescent="0.25">
      <c r="A6" s="3" t="s">
        <v>331</v>
      </c>
      <c r="B6" s="5"/>
      <c r="C6" s="4"/>
      <c r="D6" s="5"/>
      <c r="E6" s="6" t="str">
        <f t="shared" ref="E6:E14" si="2">IF(C6=0,"",(B6)/(C6))</f>
        <v/>
      </c>
    </row>
    <row r="7" spans="1:6" x14ac:dyDescent="0.25">
      <c r="A7" s="3" t="s">
        <v>332</v>
      </c>
      <c r="B7" s="4"/>
      <c r="C7" s="5">
        <f>500</f>
        <v>500</v>
      </c>
      <c r="D7" s="5">
        <f t="shared" ref="D7:D14" si="3">(B7)-(C7)</f>
        <v>-500</v>
      </c>
      <c r="E7" s="6">
        <f t="shared" si="2"/>
        <v>0</v>
      </c>
    </row>
    <row r="8" spans="1:6" x14ac:dyDescent="0.25">
      <c r="A8" s="3" t="s">
        <v>333</v>
      </c>
      <c r="B8" s="4"/>
      <c r="C8" s="5">
        <f>1500</f>
        <v>1500</v>
      </c>
      <c r="D8" s="5">
        <f t="shared" si="3"/>
        <v>-1500</v>
      </c>
      <c r="E8" s="6">
        <f t="shared" si="2"/>
        <v>0</v>
      </c>
    </row>
    <row r="9" spans="1:6" x14ac:dyDescent="0.25">
      <c r="A9" s="3" t="s">
        <v>334</v>
      </c>
      <c r="B9" s="22">
        <f>2607.04</f>
        <v>2607.04</v>
      </c>
      <c r="C9" s="5">
        <f>10088</f>
        <v>10088</v>
      </c>
      <c r="D9" s="5">
        <f t="shared" si="3"/>
        <v>-7480.96</v>
      </c>
      <c r="E9" s="6">
        <f t="shared" si="2"/>
        <v>0.25842981760507533</v>
      </c>
    </row>
    <row r="10" spans="1:6" x14ac:dyDescent="0.25">
      <c r="A10" s="3" t="s">
        <v>335</v>
      </c>
      <c r="B10" s="22">
        <f>2785.22</f>
        <v>2785.22</v>
      </c>
      <c r="C10" s="5">
        <f>4000</f>
        <v>4000</v>
      </c>
      <c r="D10" s="5">
        <f t="shared" si="3"/>
        <v>-1214.7800000000002</v>
      </c>
      <c r="E10" s="6">
        <f t="shared" si="2"/>
        <v>0.69630499999999995</v>
      </c>
    </row>
    <row r="11" spans="1:6" x14ac:dyDescent="0.25">
      <c r="A11" s="3" t="s">
        <v>336</v>
      </c>
      <c r="B11" s="21"/>
      <c r="C11" s="5">
        <f>500</f>
        <v>500</v>
      </c>
      <c r="D11" s="5">
        <f t="shared" si="3"/>
        <v>-500</v>
      </c>
      <c r="E11" s="6">
        <f t="shared" si="2"/>
        <v>0</v>
      </c>
    </row>
    <row r="12" spans="1:6" x14ac:dyDescent="0.25">
      <c r="A12" s="3" t="s">
        <v>337</v>
      </c>
      <c r="B12" s="22">
        <f>15</f>
        <v>15</v>
      </c>
      <c r="C12" s="5">
        <f>300</f>
        <v>300</v>
      </c>
      <c r="D12" s="5">
        <f t="shared" si="3"/>
        <v>-285</v>
      </c>
      <c r="E12" s="6">
        <f t="shared" si="2"/>
        <v>0.05</v>
      </c>
    </row>
    <row r="13" spans="1:6" x14ac:dyDescent="0.25">
      <c r="A13" s="3" t="s">
        <v>338</v>
      </c>
      <c r="B13" s="22">
        <f>5149.75</f>
        <v>5149.75</v>
      </c>
      <c r="C13" s="5">
        <f>4200</f>
        <v>4200</v>
      </c>
      <c r="D13" s="5">
        <f t="shared" si="3"/>
        <v>949.75</v>
      </c>
      <c r="E13" s="6">
        <f t="shared" si="2"/>
        <v>1.2261309523809525</v>
      </c>
    </row>
    <row r="14" spans="1:6" x14ac:dyDescent="0.25">
      <c r="A14" s="3" t="s">
        <v>339</v>
      </c>
      <c r="B14" s="7">
        <f>(((((((B6)+(B7))+(B8))+(B9))+(B10))+(B11))+(B12))+(B13)</f>
        <v>10557.01</v>
      </c>
      <c r="C14" s="7">
        <f>(((((((C6)+(C7))+(C8))+(C9))+(C10))+(C11))+(C12))+(C13)</f>
        <v>21088</v>
      </c>
      <c r="D14" s="7">
        <f t="shared" si="3"/>
        <v>-10530.99</v>
      </c>
      <c r="E14" s="8">
        <f t="shared" si="2"/>
        <v>0.5006169385432474</v>
      </c>
    </row>
    <row r="15" spans="1:6" x14ac:dyDescent="0.25">
      <c r="A15" s="3" t="s">
        <v>392</v>
      </c>
      <c r="B15" s="12">
        <f>B4-B14</f>
        <v>-7369.99</v>
      </c>
      <c r="C15" s="12">
        <f t="shared" ref="C15:E15" si="4">C4-C14</f>
        <v>0</v>
      </c>
      <c r="D15" s="12">
        <f t="shared" si="4"/>
        <v>-7369.99</v>
      </c>
      <c r="E15" s="12">
        <f t="shared" si="4"/>
        <v>-0.34948738619119885</v>
      </c>
    </row>
  </sheetData>
  <mergeCells count="1">
    <mergeCell ref="B1:E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0D53D-6E73-4679-AA8E-F98767093F09}">
  <dimension ref="A1:E22"/>
  <sheetViews>
    <sheetView workbookViewId="0"/>
  </sheetViews>
  <sheetFormatPr defaultRowHeight="15" x14ac:dyDescent="0.25"/>
  <cols>
    <col min="1" max="1" width="38.140625" customWidth="1"/>
    <col min="2" max="3" width="11.85546875" bestFit="1" customWidth="1"/>
    <col min="4" max="4" width="11.28515625" bestFit="1" customWidth="1"/>
  </cols>
  <sheetData>
    <row r="1" spans="1:5" x14ac:dyDescent="0.25">
      <c r="A1" s="1"/>
      <c r="B1" s="52" t="s">
        <v>3</v>
      </c>
      <c r="C1" s="47"/>
      <c r="D1" s="47"/>
      <c r="E1" s="47"/>
    </row>
    <row r="2" spans="1:5" ht="24.75" x14ac:dyDescent="0.25">
      <c r="A2" s="1"/>
      <c r="B2" s="2" t="s">
        <v>4</v>
      </c>
      <c r="C2" s="2" t="s">
        <v>5</v>
      </c>
      <c r="D2" s="2" t="s">
        <v>6</v>
      </c>
      <c r="E2" s="2" t="s">
        <v>7</v>
      </c>
    </row>
    <row r="3" spans="1:5" ht="15.75" x14ac:dyDescent="0.25">
      <c r="A3" s="11" t="s">
        <v>390</v>
      </c>
      <c r="B3" s="10"/>
      <c r="C3" s="10"/>
      <c r="D3" s="10"/>
      <c r="E3" s="10"/>
    </row>
    <row r="4" spans="1:5" x14ac:dyDescent="0.25">
      <c r="A4" s="3" t="s">
        <v>69</v>
      </c>
      <c r="B4" s="4"/>
      <c r="C4" s="4"/>
      <c r="D4" s="5">
        <f t="shared" ref="D4:D8" si="0">(B4)-(C4)</f>
        <v>0</v>
      </c>
      <c r="E4" s="6" t="str">
        <f t="shared" ref="E4:E8" si="1">IF(C4=0,"",(B4)/(C4))</f>
        <v/>
      </c>
    </row>
    <row r="5" spans="1:5" x14ac:dyDescent="0.25">
      <c r="A5" s="3" t="s">
        <v>70</v>
      </c>
      <c r="B5" s="5">
        <f>64395</f>
        <v>64395</v>
      </c>
      <c r="C5" s="5">
        <f>30000</f>
        <v>30000</v>
      </c>
      <c r="D5" s="5">
        <f t="shared" si="0"/>
        <v>34395</v>
      </c>
      <c r="E5" s="6">
        <f t="shared" si="1"/>
        <v>2.1465000000000001</v>
      </c>
    </row>
    <row r="6" spans="1:5" x14ac:dyDescent="0.25">
      <c r="A6" s="3" t="s">
        <v>71</v>
      </c>
      <c r="B6" s="5">
        <f>3627</f>
        <v>3627</v>
      </c>
      <c r="C6" s="5">
        <f>500</f>
        <v>500</v>
      </c>
      <c r="D6" s="5">
        <f t="shared" si="0"/>
        <v>3127</v>
      </c>
      <c r="E6" s="6">
        <f t="shared" si="1"/>
        <v>7.2539999999999996</v>
      </c>
    </row>
    <row r="7" spans="1:5" x14ac:dyDescent="0.25">
      <c r="A7" s="3" t="s">
        <v>72</v>
      </c>
      <c r="B7" s="5">
        <f>18065</f>
        <v>18065</v>
      </c>
      <c r="C7" s="5">
        <f>9500</f>
        <v>9500</v>
      </c>
      <c r="D7" s="5">
        <f t="shared" si="0"/>
        <v>8565</v>
      </c>
      <c r="E7" s="6">
        <f t="shared" si="1"/>
        <v>1.901578947368421</v>
      </c>
    </row>
    <row r="8" spans="1:5" x14ac:dyDescent="0.25">
      <c r="A8" s="3" t="s">
        <v>73</v>
      </c>
      <c r="B8" s="7">
        <f>(((B4)+(B5))+(B6))+(B7)</f>
        <v>86087</v>
      </c>
      <c r="C8" s="7">
        <f>(((C4)+(C5))+(C6))+(C7)</f>
        <v>40000</v>
      </c>
      <c r="D8" s="7">
        <f t="shared" si="0"/>
        <v>46087</v>
      </c>
      <c r="E8" s="8">
        <f t="shared" si="1"/>
        <v>2.1521750000000002</v>
      </c>
    </row>
    <row r="9" spans="1:5" ht="15.75" x14ac:dyDescent="0.25">
      <c r="A9" s="16" t="s">
        <v>391</v>
      </c>
    </row>
    <row r="10" spans="1:5" x14ac:dyDescent="0.25">
      <c r="A10" s="3" t="s">
        <v>320</v>
      </c>
      <c r="B10" s="4"/>
      <c r="C10" s="4"/>
      <c r="D10" s="5">
        <f t="shared" ref="D10:D20" si="2">(B10)-(C10)</f>
        <v>0</v>
      </c>
      <c r="E10" s="6" t="str">
        <f t="shared" ref="E10:E20" si="3">IF(C10=0,"",(B10)/(C10))</f>
        <v/>
      </c>
    </row>
    <row r="11" spans="1:5" x14ac:dyDescent="0.25">
      <c r="A11" s="3" t="s">
        <v>321</v>
      </c>
      <c r="B11" s="5">
        <f>15495.25</f>
        <v>15495.25</v>
      </c>
      <c r="C11" s="5">
        <f>2000</f>
        <v>2000</v>
      </c>
      <c r="D11" s="5">
        <f t="shared" si="2"/>
        <v>13495.25</v>
      </c>
      <c r="E11" s="6">
        <f t="shared" si="3"/>
        <v>7.7476250000000002</v>
      </c>
    </row>
    <row r="12" spans="1:5" x14ac:dyDescent="0.25">
      <c r="A12" s="3" t="s">
        <v>322</v>
      </c>
      <c r="B12" s="5">
        <f>11590.81</f>
        <v>11590.81</v>
      </c>
      <c r="C12" s="5">
        <f>3000</f>
        <v>3000</v>
      </c>
      <c r="D12" s="5">
        <f t="shared" si="2"/>
        <v>8590.81</v>
      </c>
      <c r="E12" s="6">
        <f t="shared" si="3"/>
        <v>3.8636033333333333</v>
      </c>
    </row>
    <row r="13" spans="1:5" x14ac:dyDescent="0.25">
      <c r="A13" s="3" t="s">
        <v>323</v>
      </c>
      <c r="B13" s="5">
        <f>9164.65</f>
        <v>9164.65</v>
      </c>
      <c r="C13" s="5">
        <f>8000</f>
        <v>8000</v>
      </c>
      <c r="D13" s="5">
        <f t="shared" si="2"/>
        <v>1164.6499999999996</v>
      </c>
      <c r="E13" s="6">
        <f t="shared" si="3"/>
        <v>1.14558125</v>
      </c>
    </row>
    <row r="14" spans="1:5" x14ac:dyDescent="0.25">
      <c r="A14" s="3" t="s">
        <v>324</v>
      </c>
      <c r="B14" s="5">
        <f>4575</f>
        <v>4575</v>
      </c>
      <c r="C14" s="5">
        <f>8500</f>
        <v>8500</v>
      </c>
      <c r="D14" s="5">
        <f t="shared" si="2"/>
        <v>-3925</v>
      </c>
      <c r="E14" s="6">
        <f t="shared" si="3"/>
        <v>0.53823529411764703</v>
      </c>
    </row>
    <row r="15" spans="1:5" x14ac:dyDescent="0.25">
      <c r="A15" s="3" t="s">
        <v>325</v>
      </c>
      <c r="B15" s="5">
        <f>1335</f>
        <v>1335</v>
      </c>
      <c r="C15" s="5">
        <f>1400</f>
        <v>1400</v>
      </c>
      <c r="D15" s="5">
        <f t="shared" si="2"/>
        <v>-65</v>
      </c>
      <c r="E15" s="6">
        <f t="shared" si="3"/>
        <v>0.95357142857142863</v>
      </c>
    </row>
    <row r="16" spans="1:5" x14ac:dyDescent="0.25">
      <c r="A16" s="3" t="s">
        <v>326</v>
      </c>
      <c r="B16" s="5">
        <f>11257.18</f>
        <v>11257.18</v>
      </c>
      <c r="C16" s="5">
        <f>7050</f>
        <v>7050</v>
      </c>
      <c r="D16" s="5">
        <f t="shared" si="2"/>
        <v>4207.18</v>
      </c>
      <c r="E16" s="6">
        <f t="shared" si="3"/>
        <v>1.596763120567376</v>
      </c>
    </row>
    <row r="17" spans="1:5" x14ac:dyDescent="0.25">
      <c r="A17" s="3" t="s">
        <v>327</v>
      </c>
      <c r="B17" s="5">
        <f>6988.23</f>
        <v>6988.23</v>
      </c>
      <c r="C17" s="5">
        <f>3200</f>
        <v>3200</v>
      </c>
      <c r="D17" s="5">
        <f t="shared" si="2"/>
        <v>3788.2299999999996</v>
      </c>
      <c r="E17" s="6">
        <f t="shared" si="3"/>
        <v>2.183821875</v>
      </c>
    </row>
    <row r="18" spans="1:5" x14ac:dyDescent="0.25">
      <c r="A18" s="3" t="s">
        <v>328</v>
      </c>
      <c r="B18" s="4"/>
      <c r="C18" s="5">
        <f>3800</f>
        <v>3800</v>
      </c>
      <c r="D18" s="5">
        <f t="shared" si="2"/>
        <v>-3800</v>
      </c>
      <c r="E18" s="6">
        <f t="shared" si="3"/>
        <v>0</v>
      </c>
    </row>
    <row r="19" spans="1:5" x14ac:dyDescent="0.25">
      <c r="A19" s="3" t="s">
        <v>329</v>
      </c>
      <c r="B19" s="5">
        <f>1725</f>
        <v>1725</v>
      </c>
      <c r="C19" s="5">
        <f>1500</f>
        <v>1500</v>
      </c>
      <c r="D19" s="5">
        <f t="shared" si="2"/>
        <v>225</v>
      </c>
      <c r="E19" s="6">
        <f t="shared" si="3"/>
        <v>1.1499999999999999</v>
      </c>
    </row>
    <row r="20" spans="1:5" x14ac:dyDescent="0.25">
      <c r="A20" s="3" t="s">
        <v>330</v>
      </c>
      <c r="B20" s="7">
        <f>(((((((((B10)+(B11))+(B12))+(B13))+(B14))+(B15))+(B16))+(B17))+(B18))+(B19)</f>
        <v>62131.119999999995</v>
      </c>
      <c r="C20" s="7">
        <f>(((((((((C10)+(C11))+(C12))+(C13))+(C14))+(C15))+(C16))+(C17))+(C18))+(C19)</f>
        <v>38450</v>
      </c>
      <c r="D20" s="7">
        <f t="shared" si="2"/>
        <v>23681.119999999995</v>
      </c>
      <c r="E20" s="8">
        <f t="shared" si="3"/>
        <v>1.6158938881664497</v>
      </c>
    </row>
    <row r="22" spans="1:5" x14ac:dyDescent="0.25">
      <c r="A22" s="3" t="s">
        <v>392</v>
      </c>
      <c r="B22" s="12">
        <f>B8-B20</f>
        <v>23955.880000000005</v>
      </c>
      <c r="C22" s="12">
        <f t="shared" ref="C22:D22" si="4">C8-C20</f>
        <v>1550</v>
      </c>
      <c r="D22" s="12">
        <f t="shared" si="4"/>
        <v>22405.880000000005</v>
      </c>
    </row>
  </sheetData>
  <mergeCells count="1">
    <mergeCell ref="B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C308D-D695-43DB-9F47-76076E28F399}">
  <dimension ref="A1:F21"/>
  <sheetViews>
    <sheetView workbookViewId="0"/>
  </sheetViews>
  <sheetFormatPr defaultRowHeight="15" x14ac:dyDescent="0.25"/>
  <cols>
    <col min="1" max="1" width="62.42578125" customWidth="1"/>
    <col min="2" max="2" width="13.42578125" bestFit="1" customWidth="1"/>
    <col min="3" max="3" width="12.28515625" bestFit="1" customWidth="1"/>
    <col min="4" max="4" width="13.42578125" bestFit="1" customWidth="1"/>
    <col min="6" max="6" width="19" customWidth="1"/>
  </cols>
  <sheetData>
    <row r="1" spans="1:6" x14ac:dyDescent="0.25">
      <c r="A1" s="1"/>
      <c r="B1" s="52" t="s">
        <v>3</v>
      </c>
      <c r="C1" s="47"/>
      <c r="D1" s="47"/>
      <c r="E1" s="47"/>
    </row>
    <row r="2" spans="1:6" ht="24.75" x14ac:dyDescent="0.25">
      <c r="A2" s="1"/>
      <c r="B2" s="2" t="s">
        <v>4</v>
      </c>
      <c r="C2" s="2" t="s">
        <v>5</v>
      </c>
      <c r="D2" s="2" t="s">
        <v>6</v>
      </c>
      <c r="E2" s="2" t="s">
        <v>7</v>
      </c>
      <c r="F2" s="10" t="s">
        <v>403</v>
      </c>
    </row>
    <row r="3" spans="1:6" x14ac:dyDescent="0.25">
      <c r="A3" s="3" t="s">
        <v>390</v>
      </c>
      <c r="B3" s="4"/>
      <c r="C3" s="4"/>
      <c r="D3" s="4"/>
      <c r="E3" s="4"/>
    </row>
    <row r="4" spans="1:6" ht="18.75" customHeight="1" x14ac:dyDescent="0.25">
      <c r="A4" s="3" t="s">
        <v>53</v>
      </c>
      <c r="B4" s="22">
        <f>115913.94</f>
        <v>115913.94</v>
      </c>
      <c r="C4" s="5">
        <f>120000</f>
        <v>120000</v>
      </c>
      <c r="D4" s="5"/>
      <c r="E4" s="6"/>
    </row>
    <row r="5" spans="1:6" x14ac:dyDescent="0.25">
      <c r="A5" s="3" t="s">
        <v>64</v>
      </c>
      <c r="B5" s="22">
        <f>31740.41</f>
        <v>31740.41</v>
      </c>
      <c r="C5" s="5">
        <f>24000</f>
        <v>24000</v>
      </c>
      <c r="D5" s="5"/>
      <c r="E5" s="6"/>
    </row>
    <row r="6" spans="1:6" x14ac:dyDescent="0.25">
      <c r="A6" s="3" t="s">
        <v>396</v>
      </c>
      <c r="B6" s="17">
        <f>SUM(B4:B5)</f>
        <v>147654.35</v>
      </c>
      <c r="C6" s="17">
        <f>SUM(C4:C5)</f>
        <v>144000</v>
      </c>
      <c r="D6" s="17">
        <f>SUM(D4:D5)</f>
        <v>0</v>
      </c>
    </row>
    <row r="8" spans="1:6" x14ac:dyDescent="0.25">
      <c r="A8" s="3" t="s">
        <v>391</v>
      </c>
    </row>
    <row r="9" spans="1:6" x14ac:dyDescent="0.25">
      <c r="A9" s="3" t="s">
        <v>288</v>
      </c>
      <c r="B9" s="4"/>
      <c r="C9" s="4"/>
      <c r="D9" s="5"/>
      <c r="E9" s="6"/>
    </row>
    <row r="10" spans="1:6" x14ac:dyDescent="0.25">
      <c r="A10" s="3" t="s">
        <v>289</v>
      </c>
      <c r="B10" s="22">
        <f>8218.04</f>
        <v>8218.0400000000009</v>
      </c>
      <c r="C10" s="22">
        <f>25000</f>
        <v>25000</v>
      </c>
      <c r="D10" s="22">
        <f t="shared" ref="D10:D18" si="0">(B10)-(C10)</f>
        <v>-16781.96</v>
      </c>
      <c r="E10" s="23">
        <f t="shared" ref="E10:E18" si="1">IF(C10=0,"",(B10)/(C10))</f>
        <v>0.32872160000000006</v>
      </c>
    </row>
    <row r="11" spans="1:6" x14ac:dyDescent="0.25">
      <c r="A11" s="3" t="s">
        <v>290</v>
      </c>
      <c r="B11" s="22">
        <f>112.69</f>
        <v>112.69</v>
      </c>
      <c r="C11" s="22">
        <f>2000</f>
        <v>2000</v>
      </c>
      <c r="D11" s="22">
        <f t="shared" si="0"/>
        <v>-1887.31</v>
      </c>
      <c r="E11" s="23">
        <f t="shared" si="1"/>
        <v>5.6344999999999999E-2</v>
      </c>
    </row>
    <row r="12" spans="1:6" x14ac:dyDescent="0.25">
      <c r="A12" s="3" t="s">
        <v>291</v>
      </c>
      <c r="B12" s="22">
        <f>30908.88</f>
        <v>30908.880000000001</v>
      </c>
      <c r="C12" s="22">
        <f>35000</f>
        <v>35000</v>
      </c>
      <c r="D12" s="22">
        <f t="shared" si="0"/>
        <v>-4091.119999999999</v>
      </c>
      <c r="E12" s="23">
        <f t="shared" si="1"/>
        <v>0.8831108571428572</v>
      </c>
    </row>
    <row r="13" spans="1:6" x14ac:dyDescent="0.25">
      <c r="A13" s="3" t="s">
        <v>292</v>
      </c>
      <c r="B13" s="22">
        <f>59306.94</f>
        <v>59306.94</v>
      </c>
      <c r="C13" s="22">
        <f>50000</f>
        <v>50000</v>
      </c>
      <c r="D13" s="22">
        <f t="shared" si="0"/>
        <v>9306.9400000000023</v>
      </c>
      <c r="E13" s="23">
        <f t="shared" si="1"/>
        <v>1.1861387999999999</v>
      </c>
    </row>
    <row r="14" spans="1:6" x14ac:dyDescent="0.25">
      <c r="A14" s="3" t="s">
        <v>293</v>
      </c>
      <c r="B14" s="22">
        <f>43.32</f>
        <v>43.32</v>
      </c>
      <c r="C14" s="22">
        <f>400</f>
        <v>400</v>
      </c>
      <c r="D14" s="22">
        <f t="shared" si="0"/>
        <v>-356.68</v>
      </c>
      <c r="E14" s="23">
        <f t="shared" si="1"/>
        <v>0.10830000000000001</v>
      </c>
    </row>
    <row r="15" spans="1:6" x14ac:dyDescent="0.25">
      <c r="A15" s="3" t="s">
        <v>404</v>
      </c>
      <c r="B15" s="22">
        <f>1630.66</f>
        <v>1630.66</v>
      </c>
      <c r="C15" s="22">
        <f>3000</f>
        <v>3000</v>
      </c>
      <c r="D15" s="22">
        <f t="shared" si="0"/>
        <v>-1369.34</v>
      </c>
      <c r="E15" s="23">
        <f t="shared" si="1"/>
        <v>0.54355333333333333</v>
      </c>
    </row>
    <row r="16" spans="1:6" x14ac:dyDescent="0.25">
      <c r="A16" s="3" t="s">
        <v>295</v>
      </c>
      <c r="B16" s="21"/>
      <c r="C16" s="22">
        <f>750</f>
        <v>750</v>
      </c>
      <c r="D16" s="22">
        <f t="shared" si="0"/>
        <v>-750</v>
      </c>
      <c r="E16" s="23">
        <f t="shared" si="1"/>
        <v>0</v>
      </c>
    </row>
    <row r="17" spans="1:5" x14ac:dyDescent="0.25">
      <c r="A17" s="3" t="s">
        <v>296</v>
      </c>
      <c r="B17" s="22">
        <f>13065</f>
        <v>13065</v>
      </c>
      <c r="C17" s="22">
        <f>10800</f>
        <v>10800</v>
      </c>
      <c r="D17" s="22">
        <f t="shared" si="0"/>
        <v>2265</v>
      </c>
      <c r="E17" s="23">
        <f t="shared" si="1"/>
        <v>1.2097222222222221</v>
      </c>
    </row>
    <row r="18" spans="1:5" x14ac:dyDescent="0.25">
      <c r="A18" s="3" t="s">
        <v>297</v>
      </c>
      <c r="B18" s="22">
        <f>43590.04</f>
        <v>43590.04</v>
      </c>
      <c r="C18" s="22">
        <f>42000</f>
        <v>42000</v>
      </c>
      <c r="D18" s="22">
        <f t="shared" si="0"/>
        <v>1590.0400000000009</v>
      </c>
      <c r="E18" s="23">
        <f t="shared" si="1"/>
        <v>1.0378580952380954</v>
      </c>
    </row>
    <row r="19" spans="1:5" x14ac:dyDescent="0.25">
      <c r="A19" s="3" t="s">
        <v>298</v>
      </c>
      <c r="B19" s="7">
        <f>(((((((((B9)+(B10))+(B11))+(B12))+(B13))+(B14))+(B15))+(B16))+(B17))+(B18)</f>
        <v>156875.57</v>
      </c>
      <c r="C19" s="7">
        <f>(((((((((C9)+(C10))+(C11))+(C12))+(C13))+(C14))+(C15))+(C16))+(C17))+(C18)</f>
        <v>168950</v>
      </c>
      <c r="D19" s="7">
        <f t="shared" ref="D19" si="2">(B19)-(C19)</f>
        <v>-12074.429999999993</v>
      </c>
      <c r="E19" s="8">
        <f t="shared" ref="E19" si="3">IF(C19=0,"",(B19)/(C19))</f>
        <v>0.9285325244155076</v>
      </c>
    </row>
    <row r="21" spans="1:5" x14ac:dyDescent="0.25">
      <c r="A21" s="3" t="s">
        <v>392</v>
      </c>
      <c r="B21" s="12">
        <f>B6-B19</f>
        <v>-9221.2200000000012</v>
      </c>
      <c r="C21" s="12">
        <f>C6-C19</f>
        <v>-24950</v>
      </c>
      <c r="D21" s="12">
        <f>D6-D19</f>
        <v>12074.429999999993</v>
      </c>
    </row>
  </sheetData>
  <mergeCells count="1">
    <mergeCell ref="B1:E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63BCC-F960-4C62-8335-F4C39C8A85F0}">
  <dimension ref="A1:F23"/>
  <sheetViews>
    <sheetView workbookViewId="0"/>
  </sheetViews>
  <sheetFormatPr defaultRowHeight="15" x14ac:dyDescent="0.25"/>
  <cols>
    <col min="1" max="1" width="36.42578125" customWidth="1"/>
    <col min="2" max="2" width="12.28515625" bestFit="1" customWidth="1"/>
    <col min="4" max="4" width="12.28515625" bestFit="1" customWidth="1"/>
    <col min="6" max="6" width="11.5703125" bestFit="1" customWidth="1"/>
  </cols>
  <sheetData>
    <row r="1" spans="1:6" x14ac:dyDescent="0.25">
      <c r="A1" s="1"/>
      <c r="B1" s="52" t="s">
        <v>3</v>
      </c>
      <c r="C1" s="47"/>
      <c r="D1" s="47"/>
      <c r="E1" s="47"/>
    </row>
    <row r="2" spans="1:6" ht="24.75" x14ac:dyDescent="0.25">
      <c r="A2" s="1"/>
      <c r="B2" s="2" t="s">
        <v>4</v>
      </c>
      <c r="C2" s="2" t="s">
        <v>5</v>
      </c>
      <c r="D2" s="2" t="s">
        <v>6</v>
      </c>
      <c r="E2" s="2" t="s">
        <v>7</v>
      </c>
    </row>
    <row r="3" spans="1:6" ht="15.75" x14ac:dyDescent="0.25">
      <c r="A3" s="11" t="s">
        <v>390</v>
      </c>
      <c r="B3" s="10"/>
      <c r="C3" s="10"/>
      <c r="D3" s="10"/>
      <c r="E3" s="10"/>
    </row>
    <row r="4" spans="1:6" x14ac:dyDescent="0.25">
      <c r="A4" s="3" t="s">
        <v>405</v>
      </c>
      <c r="B4" s="5"/>
      <c r="C4" s="4"/>
      <c r="D4" s="5"/>
      <c r="E4" s="6" t="str">
        <f t="shared" ref="E4:E5" si="0">IF(C4=0,"",(B4)/(C4))</f>
        <v/>
      </c>
      <c r="F4" s="17"/>
    </row>
    <row r="5" spans="1:6" x14ac:dyDescent="0.25">
      <c r="A5" s="3" t="s">
        <v>406</v>
      </c>
      <c r="B5" s="5"/>
      <c r="C5" s="4"/>
      <c r="D5" s="5"/>
      <c r="E5" s="6" t="str">
        <f t="shared" si="0"/>
        <v/>
      </c>
      <c r="F5" s="17"/>
    </row>
    <row r="6" spans="1:6" ht="15.75" x14ac:dyDescent="0.25">
      <c r="A6" s="15" t="s">
        <v>396</v>
      </c>
      <c r="B6" s="17">
        <f>SUM(B4:B5)</f>
        <v>0</v>
      </c>
      <c r="D6" s="17">
        <f>SUM(D4:D5)</f>
        <v>0</v>
      </c>
      <c r="F6" s="17"/>
    </row>
    <row r="7" spans="1:6" ht="15.75" x14ac:dyDescent="0.25">
      <c r="A7" s="15" t="s">
        <v>391</v>
      </c>
    </row>
    <row r="8" spans="1:6" x14ac:dyDescent="0.25">
      <c r="A8" s="3" t="s">
        <v>407</v>
      </c>
      <c r="B8" s="4"/>
      <c r="C8" s="4"/>
      <c r="D8" s="5"/>
      <c r="E8" s="6" t="str">
        <f t="shared" ref="E8:E21" si="1">IF(C8=0,"",(B8)/(C8))</f>
        <v/>
      </c>
    </row>
    <row r="9" spans="1:6" x14ac:dyDescent="0.25">
      <c r="A9" s="3" t="s">
        <v>408</v>
      </c>
      <c r="B9" s="5"/>
      <c r="C9" s="4"/>
      <c r="D9" s="5"/>
      <c r="E9" s="6" t="str">
        <f t="shared" si="1"/>
        <v/>
      </c>
    </row>
    <row r="10" spans="1:6" x14ac:dyDescent="0.25">
      <c r="A10" s="3" t="s">
        <v>409</v>
      </c>
      <c r="B10" s="5"/>
      <c r="C10" s="4"/>
      <c r="D10" s="5"/>
      <c r="E10" s="6" t="str">
        <f t="shared" si="1"/>
        <v/>
      </c>
    </row>
    <row r="11" spans="1:6" x14ac:dyDescent="0.25">
      <c r="A11" s="3" t="s">
        <v>410</v>
      </c>
      <c r="B11" s="5"/>
      <c r="C11" s="4"/>
      <c r="D11" s="5"/>
      <c r="E11" s="6" t="str">
        <f t="shared" si="1"/>
        <v/>
      </c>
    </row>
    <row r="12" spans="1:6" x14ac:dyDescent="0.25">
      <c r="A12" s="3" t="s">
        <v>411</v>
      </c>
      <c r="B12" s="5"/>
      <c r="C12" s="4"/>
      <c r="D12" s="5"/>
      <c r="E12" s="6" t="str">
        <f t="shared" si="1"/>
        <v/>
      </c>
    </row>
    <row r="13" spans="1:6" x14ac:dyDescent="0.25">
      <c r="A13" s="3" t="s">
        <v>412</v>
      </c>
      <c r="B13" s="5"/>
      <c r="C13" s="4"/>
      <c r="D13" s="5"/>
      <c r="E13" s="6" t="str">
        <f t="shared" si="1"/>
        <v/>
      </c>
    </row>
    <row r="14" spans="1:6" x14ac:dyDescent="0.25">
      <c r="A14" s="3" t="s">
        <v>413</v>
      </c>
      <c r="B14" s="5"/>
      <c r="C14" s="4"/>
      <c r="D14" s="5"/>
      <c r="E14" s="6" t="str">
        <f t="shared" si="1"/>
        <v/>
      </c>
    </row>
    <row r="15" spans="1:6" x14ac:dyDescent="0.25">
      <c r="A15" s="3" t="s">
        <v>414</v>
      </c>
      <c r="B15" s="5"/>
      <c r="C15" s="4"/>
      <c r="D15" s="5"/>
      <c r="E15" s="6" t="str">
        <f t="shared" si="1"/>
        <v/>
      </c>
    </row>
    <row r="16" spans="1:6" x14ac:dyDescent="0.25">
      <c r="A16" s="3" t="s">
        <v>415</v>
      </c>
      <c r="B16" s="5"/>
      <c r="C16" s="4"/>
      <c r="D16" s="5"/>
      <c r="E16" s="6" t="str">
        <f t="shared" si="1"/>
        <v/>
      </c>
    </row>
    <row r="17" spans="1:5" x14ac:dyDescent="0.25">
      <c r="A17" s="3" t="s">
        <v>416</v>
      </c>
      <c r="B17" s="5"/>
      <c r="C17" s="4"/>
      <c r="D17" s="5"/>
      <c r="E17" s="6" t="str">
        <f t="shared" si="1"/>
        <v/>
      </c>
    </row>
    <row r="18" spans="1:5" x14ac:dyDescent="0.25">
      <c r="A18" s="3" t="s">
        <v>417</v>
      </c>
      <c r="B18" s="5"/>
      <c r="C18" s="4"/>
      <c r="D18" s="5"/>
      <c r="E18" s="6" t="str">
        <f t="shared" si="1"/>
        <v/>
      </c>
    </row>
    <row r="19" spans="1:5" x14ac:dyDescent="0.25">
      <c r="A19" s="3" t="s">
        <v>418</v>
      </c>
      <c r="B19" s="5"/>
      <c r="C19" s="4"/>
      <c r="D19" s="5"/>
      <c r="E19" s="6" t="str">
        <f t="shared" si="1"/>
        <v/>
      </c>
    </row>
    <row r="20" spans="1:5" x14ac:dyDescent="0.25">
      <c r="A20" s="3" t="s">
        <v>419</v>
      </c>
      <c r="B20" s="5"/>
      <c r="C20" s="4"/>
      <c r="D20" s="5"/>
      <c r="E20" s="6" t="str">
        <f t="shared" si="1"/>
        <v/>
      </c>
    </row>
    <row r="21" spans="1:5" x14ac:dyDescent="0.25">
      <c r="A21" s="3" t="s">
        <v>420</v>
      </c>
      <c r="B21" s="7">
        <f>((((((((((((B8)+(B9))+(B10))+(B11))+(B12))+(B13))+(B14))+(B15))+(B16))+(B17))+(B18))+(B19))+(B20)</f>
        <v>0</v>
      </c>
      <c r="C21" s="7">
        <f>((((((((((((C8)+(C9))+(C10))+(C11))+(C12))+(C13))+(C14))+(C15))+(C16))+(C17))+(C18))+(C19))+(C20)</f>
        <v>0</v>
      </c>
      <c r="D21" s="7">
        <f t="shared" ref="D21" si="2">(B21)-(C21)</f>
        <v>0</v>
      </c>
      <c r="E21" s="8" t="str">
        <f t="shared" si="1"/>
        <v/>
      </c>
    </row>
    <row r="23" spans="1:5" x14ac:dyDescent="0.25">
      <c r="A23" s="3" t="s">
        <v>392</v>
      </c>
      <c r="B23" s="12">
        <f>B6-B21</f>
        <v>0</v>
      </c>
      <c r="C23" s="12">
        <f t="shared" ref="C23:D23" si="3">C6-C21</f>
        <v>0</v>
      </c>
      <c r="D23" s="12">
        <f t="shared" si="3"/>
        <v>0</v>
      </c>
    </row>
  </sheetData>
  <mergeCells count="1">
    <mergeCell ref="B1:E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7826C-5E07-4C15-BEDB-DE9F58CE9443}">
  <dimension ref="A1:E18"/>
  <sheetViews>
    <sheetView workbookViewId="0"/>
  </sheetViews>
  <sheetFormatPr defaultRowHeight="15" x14ac:dyDescent="0.25"/>
  <cols>
    <col min="1" max="1" width="61.140625" customWidth="1"/>
    <col min="2" max="2" width="11.28515625" bestFit="1" customWidth="1"/>
    <col min="4" max="4" width="11.28515625" bestFit="1" customWidth="1"/>
  </cols>
  <sheetData>
    <row r="1" spans="1:5" x14ac:dyDescent="0.25">
      <c r="A1" s="1"/>
      <c r="B1" s="52" t="s">
        <v>3</v>
      </c>
      <c r="C1" s="47"/>
      <c r="D1" s="47"/>
      <c r="E1" s="47"/>
    </row>
    <row r="2" spans="1:5" ht="24.75" x14ac:dyDescent="0.25">
      <c r="A2" s="1"/>
      <c r="B2" s="2" t="s">
        <v>4</v>
      </c>
      <c r="C2" s="2" t="s">
        <v>5</v>
      </c>
      <c r="D2" s="2" t="s">
        <v>6</v>
      </c>
      <c r="E2" s="2" t="s">
        <v>7</v>
      </c>
    </row>
    <row r="3" spans="1:5" ht="15.75" x14ac:dyDescent="0.25">
      <c r="A3" s="11" t="s">
        <v>390</v>
      </c>
      <c r="B3" s="10"/>
      <c r="C3" s="10"/>
      <c r="D3" s="10"/>
      <c r="E3" s="10"/>
    </row>
    <row r="4" spans="1:5" x14ac:dyDescent="0.25">
      <c r="A4" s="3" t="s">
        <v>421</v>
      </c>
      <c r="B4" s="5"/>
      <c r="C4" s="4"/>
      <c r="D4" s="5"/>
      <c r="E4" s="6" t="str">
        <f t="shared" ref="E4:E5" si="0">IF(C4=0,"",(B4)/(C4))</f>
        <v/>
      </c>
    </row>
    <row r="5" spans="1:5" x14ac:dyDescent="0.25">
      <c r="A5" s="3" t="s">
        <v>422</v>
      </c>
      <c r="B5" s="5"/>
      <c r="C5" s="4"/>
      <c r="D5" s="5"/>
      <c r="E5" s="6" t="str">
        <f t="shared" si="0"/>
        <v/>
      </c>
    </row>
    <row r="6" spans="1:5" x14ac:dyDescent="0.25">
      <c r="A6" s="3" t="s">
        <v>396</v>
      </c>
      <c r="B6" s="5">
        <f>SUM(B4:B5)</f>
        <v>0</v>
      </c>
      <c r="C6" s="4"/>
      <c r="D6" s="5">
        <f>SUM(D4:D5)</f>
        <v>0</v>
      </c>
      <c r="E6" s="6"/>
    </row>
    <row r="7" spans="1:5" ht="15.75" x14ac:dyDescent="0.25">
      <c r="A7" s="15" t="s">
        <v>391</v>
      </c>
    </row>
    <row r="8" spans="1:5" x14ac:dyDescent="0.25">
      <c r="A8" s="3" t="s">
        <v>423</v>
      </c>
      <c r="B8" s="5"/>
      <c r="C8" s="4"/>
      <c r="D8" s="5"/>
      <c r="E8" s="6" t="str">
        <f t="shared" ref="E8:E16" si="1">IF(C8=0,"",(B8)/(C8))</f>
        <v/>
      </c>
    </row>
    <row r="9" spans="1:5" x14ac:dyDescent="0.25">
      <c r="A9" s="3" t="s">
        <v>424</v>
      </c>
      <c r="B9" s="5"/>
      <c r="C9" s="4"/>
      <c r="D9" s="5"/>
      <c r="E9" s="6" t="str">
        <f t="shared" si="1"/>
        <v/>
      </c>
    </row>
    <row r="10" spans="1:5" x14ac:dyDescent="0.25">
      <c r="A10" s="3" t="s">
        <v>425</v>
      </c>
      <c r="B10" s="5"/>
      <c r="C10" s="4"/>
      <c r="D10" s="5"/>
      <c r="E10" s="6" t="str">
        <f t="shared" si="1"/>
        <v/>
      </c>
    </row>
    <row r="11" spans="1:5" x14ac:dyDescent="0.25">
      <c r="A11" s="3" t="s">
        <v>426</v>
      </c>
      <c r="B11" s="5"/>
      <c r="C11" s="4"/>
      <c r="D11" s="5"/>
      <c r="E11" s="6" t="str">
        <f t="shared" si="1"/>
        <v/>
      </c>
    </row>
    <row r="12" spans="1:5" x14ac:dyDescent="0.25">
      <c r="A12" s="3" t="s">
        <v>427</v>
      </c>
      <c r="B12" s="5"/>
      <c r="C12" s="4"/>
      <c r="D12" s="5"/>
      <c r="E12" s="6" t="str">
        <f t="shared" si="1"/>
        <v/>
      </c>
    </row>
    <row r="13" spans="1:5" x14ac:dyDescent="0.25">
      <c r="A13" s="3" t="s">
        <v>428</v>
      </c>
      <c r="B13" s="5"/>
      <c r="C13" s="4"/>
      <c r="D13" s="5"/>
      <c r="E13" s="6" t="str">
        <f t="shared" si="1"/>
        <v/>
      </c>
    </row>
    <row r="14" spans="1:5" x14ac:dyDescent="0.25">
      <c r="A14" s="3" t="s">
        <v>429</v>
      </c>
      <c r="B14" s="5"/>
      <c r="C14" s="4"/>
      <c r="D14" s="5"/>
      <c r="E14" s="6" t="str">
        <f t="shared" si="1"/>
        <v/>
      </c>
    </row>
    <row r="15" spans="1:5" x14ac:dyDescent="0.25">
      <c r="A15" s="3" t="s">
        <v>430</v>
      </c>
      <c r="B15" s="5"/>
      <c r="C15" s="4"/>
      <c r="D15" s="5"/>
      <c r="E15" s="6" t="str">
        <f t="shared" si="1"/>
        <v/>
      </c>
    </row>
    <row r="16" spans="1:5" x14ac:dyDescent="0.25">
      <c r="A16" s="3" t="s">
        <v>431</v>
      </c>
      <c r="B16" s="7">
        <f>(((((((B8)+(B9))+(B10))+(B11))+(B12))+(B13))+(B14))+(B15)</f>
        <v>0</v>
      </c>
      <c r="C16" s="7">
        <f>(((((((C8)+(C9))+(C10))+(C11))+(C12))+(C13))+(C14))+(C15)</f>
        <v>0</v>
      </c>
      <c r="D16" s="7">
        <f t="shared" ref="D16" si="2">(B16)-(C16)</f>
        <v>0</v>
      </c>
      <c r="E16" s="8" t="str">
        <f t="shared" si="1"/>
        <v/>
      </c>
    </row>
    <row r="18" spans="1:4" x14ac:dyDescent="0.25">
      <c r="A18" s="3" t="s">
        <v>392</v>
      </c>
      <c r="B18" s="12">
        <f>B6-B16</f>
        <v>0</v>
      </c>
      <c r="C18" s="12">
        <f t="shared" ref="C18:D18" si="3">C6-C16</f>
        <v>0</v>
      </c>
      <c r="D18" s="12">
        <f t="shared" si="3"/>
        <v>0</v>
      </c>
    </row>
  </sheetData>
  <mergeCells count="1">
    <mergeCell ref="B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40199-F30F-43AB-8594-EF30601F6338}">
  <dimension ref="A1:K27"/>
  <sheetViews>
    <sheetView zoomScale="120" zoomScaleNormal="120" workbookViewId="0"/>
  </sheetViews>
  <sheetFormatPr defaultRowHeight="15" x14ac:dyDescent="0.25"/>
  <cols>
    <col min="1" max="1" width="33" customWidth="1"/>
    <col min="2" max="3" width="10.5703125" bestFit="1" customWidth="1"/>
    <col min="4" max="4" width="10" bestFit="1" customWidth="1"/>
    <col min="5" max="5" width="14" bestFit="1" customWidth="1"/>
    <col min="6" max="6" width="10" bestFit="1" customWidth="1"/>
    <col min="7" max="7" width="8.140625" bestFit="1" customWidth="1"/>
    <col min="8" max="8" width="10" bestFit="1" customWidth="1"/>
    <col min="9" max="9" width="9.7109375" bestFit="1" customWidth="1"/>
    <col min="10" max="10" width="10.5703125" bestFit="1" customWidth="1"/>
    <col min="11" max="11" width="10.28515625" bestFit="1" customWidth="1"/>
  </cols>
  <sheetData>
    <row r="1" spans="1:11" ht="18" customHeight="1" x14ac:dyDescent="0.25">
      <c r="A1" s="29" t="s">
        <v>351</v>
      </c>
      <c r="B1" s="30" t="s">
        <v>352</v>
      </c>
      <c r="C1" s="30" t="s">
        <v>353</v>
      </c>
      <c r="D1" s="30" t="s">
        <v>354</v>
      </c>
      <c r="E1" s="30" t="s">
        <v>355</v>
      </c>
      <c r="F1" s="30" t="s">
        <v>356</v>
      </c>
      <c r="G1" s="30" t="s">
        <v>357</v>
      </c>
      <c r="H1" s="30" t="s">
        <v>358</v>
      </c>
      <c r="I1" s="30" t="s">
        <v>359</v>
      </c>
      <c r="J1" s="30" t="s">
        <v>360</v>
      </c>
      <c r="K1" s="31" t="s">
        <v>361</v>
      </c>
    </row>
    <row r="2" spans="1:11" ht="18" customHeight="1" x14ac:dyDescent="0.25">
      <c r="A2" s="32" t="s">
        <v>362</v>
      </c>
      <c r="B2" s="33">
        <v>18</v>
      </c>
      <c r="C2" s="33">
        <v>18</v>
      </c>
      <c r="D2" s="33">
        <v>15</v>
      </c>
      <c r="E2" s="33">
        <v>0</v>
      </c>
      <c r="F2" s="33">
        <v>135</v>
      </c>
      <c r="G2" s="33">
        <v>31</v>
      </c>
      <c r="H2" s="33">
        <v>67</v>
      </c>
      <c r="I2" s="33">
        <v>13</v>
      </c>
      <c r="J2" s="33">
        <v>36</v>
      </c>
      <c r="K2" s="33">
        <v>20</v>
      </c>
    </row>
    <row r="3" spans="1:11" ht="18" customHeight="1" x14ac:dyDescent="0.25">
      <c r="A3" s="32" t="s">
        <v>363</v>
      </c>
      <c r="B3" s="33">
        <v>4</v>
      </c>
      <c r="C3" s="33">
        <v>4</v>
      </c>
      <c r="D3" s="33"/>
      <c r="E3" s="33"/>
      <c r="F3" s="33">
        <v>2</v>
      </c>
      <c r="G3" s="33">
        <v>2</v>
      </c>
      <c r="H3" s="33"/>
      <c r="I3" s="33"/>
      <c r="J3" s="33"/>
      <c r="K3" s="33"/>
    </row>
    <row r="4" spans="1:11" ht="18" customHeight="1" x14ac:dyDescent="0.25">
      <c r="A4" s="32" t="s">
        <v>364</v>
      </c>
      <c r="B4" s="33">
        <v>4</v>
      </c>
      <c r="C4" s="33">
        <v>4</v>
      </c>
      <c r="D4" s="33">
        <v>3</v>
      </c>
      <c r="E4" s="33">
        <v>0</v>
      </c>
      <c r="F4" s="33">
        <v>16</v>
      </c>
      <c r="G4" s="33">
        <v>5</v>
      </c>
      <c r="H4" s="33">
        <v>10</v>
      </c>
      <c r="I4" s="33">
        <v>3</v>
      </c>
      <c r="J4" s="33">
        <v>5</v>
      </c>
      <c r="K4" s="33">
        <v>5</v>
      </c>
    </row>
    <row r="5" spans="1:11" ht="18" customHeight="1" x14ac:dyDescent="0.25">
      <c r="A5" s="32" t="s">
        <v>365</v>
      </c>
      <c r="B5" s="33">
        <v>2</v>
      </c>
      <c r="C5" s="33">
        <v>2</v>
      </c>
      <c r="D5" s="33"/>
      <c r="E5" s="33"/>
      <c r="F5" s="33">
        <v>2</v>
      </c>
      <c r="G5" s="33">
        <v>2</v>
      </c>
      <c r="H5" s="33">
        <v>2</v>
      </c>
      <c r="I5" s="33"/>
      <c r="J5" s="33">
        <v>2</v>
      </c>
      <c r="K5" s="33"/>
    </row>
    <row r="6" spans="1:11" ht="18" customHeight="1" x14ac:dyDescent="0.25">
      <c r="A6" s="32" t="s">
        <v>366</v>
      </c>
      <c r="B6" s="33">
        <v>2</v>
      </c>
      <c r="C6" s="33">
        <v>2</v>
      </c>
      <c r="D6" s="33">
        <v>1</v>
      </c>
      <c r="E6" s="33"/>
      <c r="F6" s="33">
        <v>16</v>
      </c>
      <c r="G6" s="33"/>
      <c r="H6" s="33">
        <v>6</v>
      </c>
      <c r="I6" s="33"/>
      <c r="J6" s="33"/>
      <c r="K6" s="33"/>
    </row>
    <row r="7" spans="1:11" ht="18" customHeight="1" x14ac:dyDescent="0.25">
      <c r="A7" s="32" t="s">
        <v>367</v>
      </c>
      <c r="B7" s="34">
        <v>500</v>
      </c>
      <c r="C7" s="34">
        <v>750</v>
      </c>
      <c r="D7" s="34">
        <v>375</v>
      </c>
      <c r="E7" s="34">
        <v>375</v>
      </c>
      <c r="F7" s="34">
        <v>2000</v>
      </c>
      <c r="G7" s="33"/>
      <c r="H7" s="34">
        <v>1325</v>
      </c>
      <c r="I7" s="34"/>
      <c r="J7" s="34">
        <v>500</v>
      </c>
      <c r="K7" s="35">
        <v>500</v>
      </c>
    </row>
    <row r="8" spans="1:11" ht="18" customHeight="1" x14ac:dyDescent="0.25">
      <c r="A8" s="32" t="s">
        <v>368</v>
      </c>
      <c r="B8" s="33">
        <v>6</v>
      </c>
      <c r="C8" s="33">
        <v>5</v>
      </c>
      <c r="D8" s="33">
        <v>5</v>
      </c>
      <c r="E8" s="33">
        <v>5</v>
      </c>
      <c r="F8" s="33">
        <v>9</v>
      </c>
      <c r="G8" s="33">
        <v>9</v>
      </c>
      <c r="H8" s="33">
        <v>2</v>
      </c>
      <c r="I8" s="33">
        <v>2</v>
      </c>
      <c r="J8" s="33">
        <v>4</v>
      </c>
      <c r="K8" s="35"/>
    </row>
    <row r="9" spans="1:11" ht="18" customHeight="1" x14ac:dyDescent="0.25">
      <c r="A9" s="32" t="s">
        <v>369</v>
      </c>
      <c r="B9" s="33">
        <v>7</v>
      </c>
      <c r="C9" s="33">
        <v>6</v>
      </c>
      <c r="D9" s="33">
        <v>6</v>
      </c>
      <c r="E9" s="33">
        <v>6</v>
      </c>
      <c r="F9" s="33">
        <v>9</v>
      </c>
      <c r="G9" s="33">
        <v>9</v>
      </c>
      <c r="H9" s="33">
        <v>3</v>
      </c>
      <c r="I9" s="33">
        <v>3</v>
      </c>
      <c r="J9" s="33">
        <v>5</v>
      </c>
      <c r="K9" s="35"/>
    </row>
    <row r="10" spans="1:11" ht="18" customHeight="1" x14ac:dyDescent="0.25">
      <c r="A10" s="36" t="s">
        <v>370</v>
      </c>
      <c r="B10" s="37">
        <v>25</v>
      </c>
      <c r="C10" s="37">
        <v>25</v>
      </c>
      <c r="D10" s="37">
        <v>25</v>
      </c>
      <c r="E10" s="37"/>
      <c r="F10" s="38"/>
      <c r="G10" s="37"/>
      <c r="H10" s="37">
        <v>25</v>
      </c>
      <c r="I10" s="37">
        <v>25</v>
      </c>
      <c r="J10" s="37">
        <v>25</v>
      </c>
      <c r="K10" s="35">
        <v>25</v>
      </c>
    </row>
    <row r="11" spans="1:11" ht="18" customHeight="1" x14ac:dyDescent="0.25">
      <c r="A11" s="36" t="s">
        <v>371</v>
      </c>
      <c r="B11" s="37">
        <v>700</v>
      </c>
      <c r="C11" s="37">
        <v>600</v>
      </c>
      <c r="D11" s="37">
        <v>450</v>
      </c>
      <c r="E11" s="37">
        <v>300</v>
      </c>
      <c r="F11" s="38"/>
      <c r="G11" s="37"/>
      <c r="H11" s="37">
        <v>750</v>
      </c>
      <c r="I11" s="37">
        <v>225</v>
      </c>
      <c r="J11" s="37">
        <v>625</v>
      </c>
      <c r="K11" s="34">
        <v>625</v>
      </c>
    </row>
    <row r="12" spans="1:11" ht="18" customHeight="1" x14ac:dyDescent="0.25">
      <c r="A12" s="36" t="s">
        <v>372</v>
      </c>
      <c r="B12" s="37"/>
      <c r="C12" s="37"/>
      <c r="D12" s="37"/>
      <c r="E12" s="37"/>
      <c r="F12" s="37"/>
      <c r="G12" s="37"/>
      <c r="H12" s="37"/>
      <c r="I12" s="37"/>
      <c r="J12" s="37"/>
      <c r="K12" s="34"/>
    </row>
    <row r="13" spans="1:11" x14ac:dyDescent="0.25">
      <c r="A13" s="36" t="s">
        <v>373</v>
      </c>
      <c r="B13" s="37">
        <v>5420</v>
      </c>
      <c r="C13" s="37">
        <v>5420</v>
      </c>
      <c r="D13" s="37">
        <v>2860</v>
      </c>
      <c r="E13" s="37">
        <v>2860</v>
      </c>
      <c r="F13" s="37">
        <v>34000</v>
      </c>
      <c r="G13" s="37"/>
      <c r="H13" s="37">
        <v>18700</v>
      </c>
      <c r="I13" s="37">
        <v>3080</v>
      </c>
      <c r="J13" s="37">
        <v>18675</v>
      </c>
      <c r="K13" s="35">
        <v>2900</v>
      </c>
    </row>
    <row r="14" spans="1:11" x14ac:dyDescent="0.25">
      <c r="A14" s="32" t="s">
        <v>374</v>
      </c>
      <c r="B14" s="37"/>
      <c r="C14" s="37"/>
      <c r="D14" s="37"/>
      <c r="E14" s="37"/>
      <c r="F14" s="37">
        <v>2465</v>
      </c>
      <c r="G14" s="37"/>
      <c r="H14" s="37"/>
      <c r="I14" s="37"/>
      <c r="J14" s="37"/>
      <c r="K14" s="34"/>
    </row>
    <row r="15" spans="1:11" ht="18" customHeight="1" x14ac:dyDescent="0.25">
      <c r="A15" s="32" t="s">
        <v>375</v>
      </c>
      <c r="B15" s="37"/>
      <c r="C15" s="37"/>
      <c r="D15" s="37"/>
      <c r="E15" s="37"/>
      <c r="F15" s="37"/>
      <c r="G15" s="37"/>
      <c r="H15" s="37"/>
      <c r="I15" s="37"/>
      <c r="J15" s="37"/>
      <c r="K15" s="34"/>
    </row>
    <row r="16" spans="1:11" ht="18" customHeight="1" x14ac:dyDescent="0.25">
      <c r="A16" s="32" t="s">
        <v>376</v>
      </c>
      <c r="B16" s="37">
        <v>7000</v>
      </c>
      <c r="C16" s="37">
        <v>6000</v>
      </c>
      <c r="D16" s="37">
        <v>6000</v>
      </c>
      <c r="E16" s="37">
        <v>0</v>
      </c>
      <c r="F16" s="37">
        <v>60000</v>
      </c>
      <c r="G16" s="37"/>
      <c r="H16" s="37">
        <v>1400</v>
      </c>
      <c r="I16" s="37">
        <v>750</v>
      </c>
      <c r="J16" s="37">
        <v>8000</v>
      </c>
      <c r="K16" s="34">
        <v>5600</v>
      </c>
    </row>
    <row r="17" spans="1:11" ht="18" customHeight="1" x14ac:dyDescent="0.25">
      <c r="A17" s="32" t="s">
        <v>377</v>
      </c>
      <c r="B17" s="37">
        <v>3000</v>
      </c>
      <c r="C17" s="37">
        <v>1550</v>
      </c>
      <c r="D17" s="37">
        <v>775</v>
      </c>
      <c r="E17" s="37">
        <v>750</v>
      </c>
      <c r="F17" s="37">
        <v>14000</v>
      </c>
      <c r="G17" s="37"/>
      <c r="H17" s="37">
        <v>3350</v>
      </c>
      <c r="I17" s="37">
        <v>775</v>
      </c>
      <c r="J17" s="37">
        <v>3000</v>
      </c>
      <c r="K17" s="34"/>
    </row>
    <row r="18" spans="1:11" ht="18" customHeight="1" x14ac:dyDescent="0.25">
      <c r="A18" s="32" t="s">
        <v>378</v>
      </c>
      <c r="B18" s="37">
        <v>8000</v>
      </c>
      <c r="C18" s="37">
        <v>5000</v>
      </c>
      <c r="D18" s="37">
        <v>5000</v>
      </c>
      <c r="E18" s="37">
        <v>0</v>
      </c>
      <c r="F18" s="37">
        <v>45000</v>
      </c>
      <c r="G18" s="37"/>
      <c r="H18" s="37">
        <v>800</v>
      </c>
      <c r="I18" s="37">
        <v>800</v>
      </c>
      <c r="J18" s="37">
        <v>8000</v>
      </c>
      <c r="K18" s="34">
        <v>25000</v>
      </c>
    </row>
    <row r="19" spans="1:11" ht="18" customHeight="1" x14ac:dyDescent="0.25">
      <c r="A19" s="32" t="s">
        <v>379</v>
      </c>
      <c r="B19" s="39"/>
      <c r="C19" s="39">
        <v>200</v>
      </c>
      <c r="D19" s="39">
        <v>200</v>
      </c>
      <c r="E19" s="37"/>
      <c r="F19" s="39">
        <v>750</v>
      </c>
      <c r="G19" s="37"/>
      <c r="H19" s="39"/>
      <c r="I19" s="39"/>
      <c r="J19" s="37">
        <v>0</v>
      </c>
      <c r="K19" s="34">
        <v>300</v>
      </c>
    </row>
    <row r="20" spans="1:11" ht="18" customHeight="1" x14ac:dyDescent="0.25">
      <c r="A20" s="32" t="s">
        <v>380</v>
      </c>
      <c r="B20" s="40">
        <v>6600</v>
      </c>
      <c r="C20" s="40">
        <v>6600</v>
      </c>
      <c r="D20" s="40">
        <v>3200</v>
      </c>
      <c r="E20" s="37" t="s">
        <v>381</v>
      </c>
      <c r="F20" s="37">
        <v>10000</v>
      </c>
      <c r="G20" s="37"/>
      <c r="H20" s="39"/>
      <c r="I20" s="39"/>
      <c r="J20" s="37">
        <v>1200</v>
      </c>
      <c r="K20" s="34"/>
    </row>
    <row r="21" spans="1:11" ht="18" customHeight="1" x14ac:dyDescent="0.25">
      <c r="A21" s="32" t="s">
        <v>382</v>
      </c>
      <c r="B21" s="40"/>
      <c r="C21" s="40"/>
      <c r="D21" s="40"/>
      <c r="E21" s="37"/>
      <c r="F21" s="37">
        <v>2000</v>
      </c>
      <c r="G21" s="37"/>
      <c r="H21" s="39">
        <v>420</v>
      </c>
      <c r="I21" s="39"/>
      <c r="J21" s="37">
        <v>800</v>
      </c>
      <c r="K21" s="34">
        <v>2000</v>
      </c>
    </row>
    <row r="22" spans="1:11" ht="18" customHeight="1" x14ac:dyDescent="0.25">
      <c r="A22" s="32" t="s">
        <v>383</v>
      </c>
      <c r="B22" s="39">
        <v>300</v>
      </c>
      <c r="C22" s="39">
        <v>300</v>
      </c>
      <c r="D22" s="39">
        <v>300</v>
      </c>
      <c r="E22" s="41">
        <v>300</v>
      </c>
      <c r="F22" s="37">
        <v>400</v>
      </c>
      <c r="G22" s="37"/>
      <c r="H22" s="39">
        <v>150</v>
      </c>
      <c r="I22" s="39">
        <v>150</v>
      </c>
      <c r="J22" s="41">
        <v>0</v>
      </c>
      <c r="K22" s="34">
        <v>0</v>
      </c>
    </row>
    <row r="23" spans="1:11" ht="18" customHeight="1" x14ac:dyDescent="0.25">
      <c r="A23" s="32" t="s">
        <v>384</v>
      </c>
      <c r="B23" s="37">
        <f>B7+B11+B13+B16+B17+B18+B20+B22</f>
        <v>31520</v>
      </c>
      <c r="C23" s="37">
        <f>C7+C11+C13+C16+C17+C18+C20+C22+C19</f>
        <v>26420</v>
      </c>
      <c r="D23" s="37">
        <f>D7+D11+D13+D16+D17+D18+D20+D22+D19</f>
        <v>19160</v>
      </c>
      <c r="E23" s="37">
        <f>E7+E11+E13+E16+E17+E22</f>
        <v>4585</v>
      </c>
      <c r="F23" s="37">
        <f>F7+F11+F13+F16+F17+F18+F20+F19+F21+F22</f>
        <v>168150</v>
      </c>
      <c r="G23" s="37"/>
      <c r="H23" s="37">
        <f>H7+H11+H13+H16+H17+H18+H20+H22+H21</f>
        <v>26895</v>
      </c>
      <c r="I23" s="37">
        <f>I7+I11+I13+I16+I17+I18+I20+I22</f>
        <v>5780</v>
      </c>
      <c r="J23" s="37">
        <f>J7+J11+J13+J16+J17+J18+J20+J22+J21</f>
        <v>40800</v>
      </c>
      <c r="K23" s="35">
        <f>K13+K16+K18+K22+K11+K7+K19+K21</f>
        <v>36925</v>
      </c>
    </row>
    <row r="24" spans="1:11" ht="18" customHeight="1" x14ac:dyDescent="0.25">
      <c r="A24" s="32" t="s">
        <v>385</v>
      </c>
      <c r="B24" s="37">
        <f>B23/B2</f>
        <v>1751.1111111111111</v>
      </c>
      <c r="C24" s="37">
        <f>C23/C2</f>
        <v>1467.7777777777778</v>
      </c>
      <c r="D24" s="37">
        <f>D23/D2</f>
        <v>1277.3333333333333</v>
      </c>
      <c r="E24" s="37" t="e">
        <f>E23/E2</f>
        <v>#DIV/0!</v>
      </c>
      <c r="F24" s="37">
        <f>F23/F2</f>
        <v>1245.5555555555557</v>
      </c>
      <c r="G24" s="37"/>
      <c r="H24" s="37">
        <f>H23/H2</f>
        <v>401.41791044776119</v>
      </c>
      <c r="I24" s="37">
        <f>I23/I2</f>
        <v>444.61538461538464</v>
      </c>
      <c r="J24" s="37">
        <f>J23/J2</f>
        <v>1133.3333333333333</v>
      </c>
      <c r="K24" s="35">
        <f>K23/K2</f>
        <v>1846.25</v>
      </c>
    </row>
    <row r="25" spans="1:11" ht="18" customHeight="1" x14ac:dyDescent="0.25">
      <c r="A25" s="32" t="s">
        <v>386</v>
      </c>
      <c r="B25" s="37">
        <v>700</v>
      </c>
      <c r="C25" s="37">
        <v>700</v>
      </c>
      <c r="D25" s="37">
        <v>700</v>
      </c>
      <c r="E25" s="37">
        <v>325</v>
      </c>
      <c r="F25" s="37">
        <v>1095</v>
      </c>
      <c r="G25" s="37">
        <v>1095</v>
      </c>
      <c r="H25" s="37">
        <v>300</v>
      </c>
      <c r="I25" s="37">
        <v>300</v>
      </c>
      <c r="J25" s="37">
        <v>700</v>
      </c>
      <c r="K25" s="35">
        <v>1500</v>
      </c>
    </row>
    <row r="26" spans="1:11" ht="18" customHeight="1" x14ac:dyDescent="0.25">
      <c r="A26" s="42" t="s">
        <v>387</v>
      </c>
      <c r="B26" s="43">
        <f>B25-B24</f>
        <v>-1051.1111111111111</v>
      </c>
      <c r="C26" s="43">
        <f>C25-C24</f>
        <v>-767.77777777777783</v>
      </c>
      <c r="D26" s="43">
        <f>D25-D24</f>
        <v>-577.33333333333326</v>
      </c>
      <c r="E26" s="43" t="e">
        <f>E25-E24</f>
        <v>#DIV/0!</v>
      </c>
      <c r="F26" s="43">
        <f t="shared" ref="F26:J26" si="0">F25-F24</f>
        <v>-150.55555555555566</v>
      </c>
      <c r="G26" s="43"/>
      <c r="H26" s="43">
        <f t="shared" si="0"/>
        <v>-101.41791044776119</v>
      </c>
      <c r="I26" s="43">
        <f>I25-I24</f>
        <v>-144.61538461538464</v>
      </c>
      <c r="J26" s="43">
        <f t="shared" si="0"/>
        <v>-433.33333333333326</v>
      </c>
      <c r="K26" s="43">
        <f>K25-K24</f>
        <v>-346.25</v>
      </c>
    </row>
    <row r="27" spans="1:11" ht="18" customHeight="1" x14ac:dyDescent="0.25">
      <c r="A27" s="44" t="s">
        <v>388</v>
      </c>
      <c r="B27" s="45">
        <f>B26*B2</f>
        <v>-18920</v>
      </c>
      <c r="C27" s="45">
        <f>C26*C2</f>
        <v>-13820</v>
      </c>
      <c r="D27" s="45">
        <f>D26*14</f>
        <v>-8082.6666666666661</v>
      </c>
      <c r="E27" s="45" t="e">
        <f>E26*14</f>
        <v>#DIV/0!</v>
      </c>
      <c r="F27" s="45">
        <f>F26*115</f>
        <v>-17313.888888888901</v>
      </c>
      <c r="G27" s="45"/>
      <c r="H27" s="45">
        <f>H26*H2</f>
        <v>-6795</v>
      </c>
      <c r="I27" s="45">
        <f>I26*I2</f>
        <v>-1880.0000000000005</v>
      </c>
      <c r="J27" s="45">
        <f>J26*J2</f>
        <v>-15599.999999999996</v>
      </c>
      <c r="K27" s="45">
        <f>K26*K2</f>
        <v>-6925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00CA8-7550-4A3E-A552-D5C6498EE015}">
  <dimension ref="A1:F8"/>
  <sheetViews>
    <sheetView workbookViewId="0"/>
  </sheetViews>
  <sheetFormatPr defaultRowHeight="15" x14ac:dyDescent="0.25"/>
  <cols>
    <col min="1" max="1" width="37.42578125" customWidth="1"/>
    <col min="2" max="2" width="14.28515625" customWidth="1"/>
    <col min="3" max="3" width="18.140625" customWidth="1"/>
    <col min="5" max="5" width="8.28515625" bestFit="1" customWidth="1"/>
    <col min="6" max="6" width="21.5703125" customWidth="1"/>
  </cols>
  <sheetData>
    <row r="1" spans="1:6" x14ac:dyDescent="0.25">
      <c r="A1" s="1"/>
      <c r="B1" s="52" t="s">
        <v>3</v>
      </c>
      <c r="C1" s="47"/>
      <c r="D1" s="47"/>
      <c r="E1" s="47"/>
    </row>
    <row r="2" spans="1:6" ht="24.75" x14ac:dyDescent="0.25">
      <c r="A2" s="1"/>
      <c r="B2" s="2" t="s">
        <v>4</v>
      </c>
      <c r="C2" s="2" t="s">
        <v>5</v>
      </c>
      <c r="D2" s="2" t="s">
        <v>6</v>
      </c>
      <c r="E2" s="2" t="s">
        <v>7</v>
      </c>
      <c r="F2" s="10" t="s">
        <v>389</v>
      </c>
    </row>
    <row r="3" spans="1:6" ht="15.75" x14ac:dyDescent="0.25">
      <c r="A3" s="11" t="s">
        <v>390</v>
      </c>
      <c r="B3" s="10"/>
      <c r="C3" s="10"/>
      <c r="D3" s="10"/>
      <c r="E3" s="10"/>
    </row>
    <row r="4" spans="1:6" x14ac:dyDescent="0.25">
      <c r="A4" s="3" t="s">
        <v>63</v>
      </c>
      <c r="B4" s="5">
        <f>5307.25</f>
        <v>5307.25</v>
      </c>
      <c r="C4" s="4"/>
      <c r="D4" s="5">
        <f t="shared" ref="D4" si="0">(B4)-(C4)</f>
        <v>5307.25</v>
      </c>
      <c r="E4" s="6" t="str">
        <f t="shared" ref="E4" si="1">IF(C4=0,"",(B4)/(C4))</f>
        <v/>
      </c>
    </row>
    <row r="5" spans="1:6" ht="15.75" x14ac:dyDescent="0.25">
      <c r="A5" s="9" t="s">
        <v>391</v>
      </c>
    </row>
    <row r="6" spans="1:6" ht="23.25" x14ac:dyDescent="0.25">
      <c r="A6" s="3" t="s">
        <v>301</v>
      </c>
      <c r="B6" s="5">
        <f>5502.4</f>
        <v>5502.4</v>
      </c>
      <c r="C6" s="5">
        <f>500</f>
        <v>500</v>
      </c>
      <c r="D6" s="5">
        <f t="shared" ref="D6" si="2">(B6)-(C6)</f>
        <v>5002.3999999999996</v>
      </c>
      <c r="E6" s="6">
        <f t="shared" ref="E6" si="3">IF(C6=0,"",(B6)/(C6))</f>
        <v>11.004799999999999</v>
      </c>
    </row>
    <row r="8" spans="1:6" x14ac:dyDescent="0.25">
      <c r="A8" s="3" t="s">
        <v>392</v>
      </c>
      <c r="B8" s="12">
        <f>B4-B6</f>
        <v>-195.14999999999964</v>
      </c>
      <c r="C8" s="12">
        <f>C4-C6</f>
        <v>-500</v>
      </c>
      <c r="D8" s="12">
        <f>D4-D6</f>
        <v>304.85000000000036</v>
      </c>
      <c r="E8" s="18"/>
    </row>
  </sheetData>
  <mergeCells count="1">
    <mergeCell ref="B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12C38-BFE2-4B7E-A417-39F5C37DBEA6}">
  <dimension ref="A1:G23"/>
  <sheetViews>
    <sheetView workbookViewId="0">
      <selection activeCell="A4" sqref="A4"/>
    </sheetView>
  </sheetViews>
  <sheetFormatPr defaultRowHeight="15" x14ac:dyDescent="0.25"/>
  <cols>
    <col min="1" max="1" width="44.140625" customWidth="1"/>
    <col min="2" max="2" width="12.28515625" bestFit="1" customWidth="1"/>
    <col min="3" max="3" width="11" bestFit="1" customWidth="1"/>
    <col min="4" max="4" width="12.28515625" bestFit="1" customWidth="1"/>
    <col min="7" max="7" width="15.7109375" customWidth="1"/>
  </cols>
  <sheetData>
    <row r="1" spans="1:7" x14ac:dyDescent="0.25">
      <c r="A1" s="1"/>
      <c r="B1" s="52" t="s">
        <v>3</v>
      </c>
      <c r="C1" s="47"/>
      <c r="D1" s="47"/>
      <c r="E1" s="47"/>
    </row>
    <row r="2" spans="1:7" ht="24.75" x14ac:dyDescent="0.25">
      <c r="A2" s="1"/>
      <c r="B2" s="2" t="s">
        <v>4</v>
      </c>
      <c r="C2" s="2" t="s">
        <v>5</v>
      </c>
      <c r="D2" s="2" t="s">
        <v>6</v>
      </c>
      <c r="E2" s="2" t="s">
        <v>7</v>
      </c>
      <c r="G2" s="10" t="s">
        <v>393</v>
      </c>
    </row>
    <row r="3" spans="1:7" ht="15.75" x14ac:dyDescent="0.25">
      <c r="A3" s="11" t="s">
        <v>390</v>
      </c>
      <c r="B3" s="10"/>
      <c r="C3" s="10"/>
      <c r="D3" s="10"/>
      <c r="E3" s="10"/>
    </row>
    <row r="4" spans="1:7" x14ac:dyDescent="0.25">
      <c r="A4" s="3" t="s">
        <v>26</v>
      </c>
      <c r="B4" s="4"/>
      <c r="C4" s="4"/>
      <c r="D4" s="5">
        <f t="shared" ref="D4:D8" si="0">(B4)-(C4)</f>
        <v>0</v>
      </c>
      <c r="E4" s="6" t="str">
        <f t="shared" ref="E4:E8" si="1">IF(C4=0,"",(B4)/(C4))</f>
        <v/>
      </c>
    </row>
    <row r="5" spans="1:7" x14ac:dyDescent="0.25">
      <c r="A5" s="3" t="s">
        <v>27</v>
      </c>
      <c r="B5" s="5">
        <f>12978</f>
        <v>12978</v>
      </c>
      <c r="C5" s="5">
        <f>5000</f>
        <v>5000</v>
      </c>
      <c r="D5" s="5">
        <f t="shared" si="0"/>
        <v>7978</v>
      </c>
      <c r="E5" s="6">
        <f t="shared" si="1"/>
        <v>2.5956000000000001</v>
      </c>
    </row>
    <row r="6" spans="1:7" ht="23.25" x14ac:dyDescent="0.25">
      <c r="A6" s="3" t="s">
        <v>28</v>
      </c>
      <c r="B6" s="5">
        <f>770</f>
        <v>770</v>
      </c>
      <c r="C6" s="5">
        <f>200</f>
        <v>200</v>
      </c>
      <c r="D6" s="5">
        <f t="shared" si="0"/>
        <v>570</v>
      </c>
      <c r="E6" s="6">
        <f t="shared" si="1"/>
        <v>3.85</v>
      </c>
    </row>
    <row r="7" spans="1:7" x14ac:dyDescent="0.25">
      <c r="A7" s="3" t="s">
        <v>29</v>
      </c>
      <c r="B7" s="5">
        <f>15684.2</f>
        <v>15684.2</v>
      </c>
      <c r="C7" s="5">
        <f>14400</f>
        <v>14400</v>
      </c>
      <c r="D7" s="5">
        <f t="shared" si="0"/>
        <v>1284.2000000000007</v>
      </c>
      <c r="E7" s="6">
        <f t="shared" si="1"/>
        <v>1.0891805555555556</v>
      </c>
    </row>
    <row r="8" spans="1:7" x14ac:dyDescent="0.25">
      <c r="A8" s="3" t="s">
        <v>30</v>
      </c>
      <c r="B8" s="7">
        <f>(((B4)+(B5))+(B6))+(B7)</f>
        <v>29432.2</v>
      </c>
      <c r="C8" s="7">
        <f>(((C4)+(C5))+(C6))+(C7)</f>
        <v>19600</v>
      </c>
      <c r="D8" s="7">
        <f t="shared" si="0"/>
        <v>9832.2000000000007</v>
      </c>
      <c r="E8" s="8">
        <f t="shared" si="1"/>
        <v>1.5016428571428573</v>
      </c>
    </row>
    <row r="9" spans="1:7" ht="15.75" x14ac:dyDescent="0.25">
      <c r="A9" s="9" t="s">
        <v>391</v>
      </c>
    </row>
    <row r="10" spans="1:7" x14ac:dyDescent="0.25">
      <c r="A10" s="3" t="s">
        <v>145</v>
      </c>
      <c r="B10" s="4"/>
      <c r="C10" s="4"/>
      <c r="D10" s="5">
        <f t="shared" ref="D10:D21" si="2">(B10)-(C10)</f>
        <v>0</v>
      </c>
      <c r="E10" s="6" t="str">
        <f t="shared" ref="E10:E21" si="3">IF(C10=0,"",(B10)/(C10))</f>
        <v/>
      </c>
    </row>
    <row r="11" spans="1:7" x14ac:dyDescent="0.25">
      <c r="A11" s="3" t="s">
        <v>146</v>
      </c>
      <c r="B11" s="5">
        <f>905</f>
        <v>905</v>
      </c>
      <c r="C11" s="5">
        <f>900</f>
        <v>900</v>
      </c>
      <c r="D11" s="5">
        <f t="shared" si="2"/>
        <v>5</v>
      </c>
      <c r="E11" s="6">
        <f t="shared" si="3"/>
        <v>1.0055555555555555</v>
      </c>
    </row>
    <row r="12" spans="1:7" ht="23.25" x14ac:dyDescent="0.25">
      <c r="A12" s="3" t="s">
        <v>147</v>
      </c>
      <c r="B12" s="4"/>
      <c r="C12" s="5">
        <f>2000</f>
        <v>2000</v>
      </c>
      <c r="D12" s="5">
        <f t="shared" si="2"/>
        <v>-2000</v>
      </c>
      <c r="E12" s="6">
        <f t="shared" si="3"/>
        <v>0</v>
      </c>
    </row>
    <row r="13" spans="1:7" x14ac:dyDescent="0.25">
      <c r="A13" s="3" t="s">
        <v>148</v>
      </c>
      <c r="B13" s="5">
        <f>1479.81</f>
        <v>1479.81</v>
      </c>
      <c r="C13" s="5">
        <f>1300</f>
        <v>1300</v>
      </c>
      <c r="D13" s="5">
        <f t="shared" si="2"/>
        <v>179.80999999999995</v>
      </c>
      <c r="E13" s="6">
        <f t="shared" si="3"/>
        <v>1.1383153846153846</v>
      </c>
    </row>
    <row r="14" spans="1:7" x14ac:dyDescent="0.25">
      <c r="A14" s="3" t="s">
        <v>149</v>
      </c>
      <c r="B14" s="5">
        <f>1000.75</f>
        <v>1000.75</v>
      </c>
      <c r="C14" s="5">
        <f>1800</f>
        <v>1800</v>
      </c>
      <c r="D14" s="5">
        <f t="shared" si="2"/>
        <v>-799.25</v>
      </c>
      <c r="E14" s="6">
        <f t="shared" si="3"/>
        <v>0.5559722222222222</v>
      </c>
    </row>
    <row r="15" spans="1:7" x14ac:dyDescent="0.25">
      <c r="A15" s="3" t="s">
        <v>150</v>
      </c>
      <c r="B15" s="5">
        <f>3500</f>
        <v>3500</v>
      </c>
      <c r="C15" s="5">
        <f>5500</f>
        <v>5500</v>
      </c>
      <c r="D15" s="5">
        <f t="shared" si="2"/>
        <v>-2000</v>
      </c>
      <c r="E15" s="6">
        <f t="shared" si="3"/>
        <v>0.63636363636363635</v>
      </c>
    </row>
    <row r="16" spans="1:7" x14ac:dyDescent="0.25">
      <c r="A16" s="3" t="s">
        <v>151</v>
      </c>
      <c r="B16" s="5">
        <f>3300</f>
        <v>3300</v>
      </c>
      <c r="C16" s="5">
        <f>4000</f>
        <v>4000</v>
      </c>
      <c r="D16" s="5">
        <f t="shared" si="2"/>
        <v>-700</v>
      </c>
      <c r="E16" s="6">
        <f t="shared" si="3"/>
        <v>0.82499999999999996</v>
      </c>
    </row>
    <row r="17" spans="1:5" x14ac:dyDescent="0.25">
      <c r="A17" s="3" t="s">
        <v>152</v>
      </c>
      <c r="B17" s="5">
        <f>380</f>
        <v>380</v>
      </c>
      <c r="C17" s="5">
        <f>780</f>
        <v>780</v>
      </c>
      <c r="D17" s="5">
        <f t="shared" si="2"/>
        <v>-400</v>
      </c>
      <c r="E17" s="6">
        <f t="shared" si="3"/>
        <v>0.48717948717948717</v>
      </c>
    </row>
    <row r="18" spans="1:5" x14ac:dyDescent="0.25">
      <c r="A18" s="3" t="s">
        <v>153</v>
      </c>
      <c r="B18" s="5">
        <f>92.56</f>
        <v>92.56</v>
      </c>
      <c r="C18" s="5">
        <f>1200</f>
        <v>1200</v>
      </c>
      <c r="D18" s="5">
        <f t="shared" si="2"/>
        <v>-1107.44</v>
      </c>
      <c r="E18" s="6">
        <f t="shared" si="3"/>
        <v>7.7133333333333332E-2</v>
      </c>
    </row>
    <row r="19" spans="1:5" x14ac:dyDescent="0.25">
      <c r="A19" s="3" t="s">
        <v>154</v>
      </c>
      <c r="B19" s="5">
        <f>1080</f>
        <v>1080</v>
      </c>
      <c r="C19" s="5">
        <f>600</f>
        <v>600</v>
      </c>
      <c r="D19" s="5">
        <f t="shared" si="2"/>
        <v>480</v>
      </c>
      <c r="E19" s="6">
        <f t="shared" si="3"/>
        <v>1.8</v>
      </c>
    </row>
    <row r="20" spans="1:5" ht="23.25" x14ac:dyDescent="0.25">
      <c r="A20" s="3" t="s">
        <v>155</v>
      </c>
      <c r="B20" s="5">
        <f>2700</f>
        <v>2700</v>
      </c>
      <c r="C20" s="5">
        <f>3264</f>
        <v>3264</v>
      </c>
      <c r="D20" s="5">
        <f t="shared" si="2"/>
        <v>-564</v>
      </c>
      <c r="E20" s="6">
        <f t="shared" si="3"/>
        <v>0.82720588235294112</v>
      </c>
    </row>
    <row r="21" spans="1:5" x14ac:dyDescent="0.25">
      <c r="A21" s="3" t="s">
        <v>156</v>
      </c>
      <c r="B21" s="7">
        <f>((((((((((B10)+(B11))+(B12))+(B13))+(B14))+(B15))+(B16))+(B17))+(B18))+(B19))+(B20)</f>
        <v>14438.119999999999</v>
      </c>
      <c r="C21" s="7">
        <f>((((((((((C10)+(C11))+(C12))+(C13))+(C14))+(C15))+(C16))+(C17))+(C18))+(C19))+(C20)</f>
        <v>21344</v>
      </c>
      <c r="D21" s="7">
        <f t="shared" si="2"/>
        <v>-6905.880000000001</v>
      </c>
      <c r="E21" s="8">
        <f t="shared" si="3"/>
        <v>0.67644865067466264</v>
      </c>
    </row>
    <row r="23" spans="1:5" x14ac:dyDescent="0.25">
      <c r="A23" s="3" t="s">
        <v>392</v>
      </c>
      <c r="B23" s="12">
        <f>B8-B21</f>
        <v>14994.080000000002</v>
      </c>
      <c r="C23" s="12">
        <f t="shared" ref="C23:E23" si="4">C8-C21</f>
        <v>-1744</v>
      </c>
      <c r="D23" s="12">
        <f t="shared" si="4"/>
        <v>16738.080000000002</v>
      </c>
      <c r="E23" s="12">
        <f t="shared" si="4"/>
        <v>0.82519420646819464</v>
      </c>
    </row>
  </sheetData>
  <mergeCells count="1">
    <mergeCell ref="B1:E1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25865-2AF3-40F0-84FC-F96B0869EBCA}">
  <dimension ref="A1:F23"/>
  <sheetViews>
    <sheetView workbookViewId="0">
      <selection activeCell="F2" sqref="F2"/>
    </sheetView>
  </sheetViews>
  <sheetFormatPr defaultRowHeight="15" x14ac:dyDescent="0.25"/>
  <cols>
    <col min="1" max="1" width="51.85546875" customWidth="1"/>
    <col min="2" max="4" width="11.28515625" bestFit="1" customWidth="1"/>
    <col min="6" max="6" width="18.7109375" customWidth="1"/>
  </cols>
  <sheetData>
    <row r="1" spans="1:6" x14ac:dyDescent="0.25">
      <c r="A1" s="1"/>
      <c r="B1" s="52" t="s">
        <v>3</v>
      </c>
      <c r="C1" s="47"/>
      <c r="D1" s="47"/>
      <c r="E1" s="47"/>
    </row>
    <row r="2" spans="1:6" ht="24.75" x14ac:dyDescent="0.25">
      <c r="A2" s="1"/>
      <c r="B2" s="2" t="s">
        <v>4</v>
      </c>
      <c r="C2" s="2" t="s">
        <v>5</v>
      </c>
      <c r="D2" s="2" t="s">
        <v>6</v>
      </c>
      <c r="E2" s="2" t="s">
        <v>7</v>
      </c>
      <c r="F2" s="10" t="s">
        <v>394</v>
      </c>
    </row>
    <row r="3" spans="1:6" ht="15.75" x14ac:dyDescent="0.25">
      <c r="A3" s="14" t="s">
        <v>390</v>
      </c>
      <c r="B3" s="10"/>
      <c r="C3" s="10"/>
      <c r="D3" s="10"/>
      <c r="E3" s="10"/>
    </row>
    <row r="4" spans="1:6" ht="18.75" customHeight="1" x14ac:dyDescent="0.25">
      <c r="A4" s="3" t="s">
        <v>41</v>
      </c>
      <c r="B4" s="4"/>
      <c r="C4" s="4"/>
      <c r="D4" s="5">
        <f t="shared" ref="D4:D8" si="0">(B4)-(C4)</f>
        <v>0</v>
      </c>
      <c r="E4" s="6" t="str">
        <f t="shared" ref="E4:E8" si="1">IF(C4=0,"",(B4)/(C4))</f>
        <v/>
      </c>
    </row>
    <row r="5" spans="1:6" x14ac:dyDescent="0.25">
      <c r="A5" s="3" t="s">
        <v>42</v>
      </c>
      <c r="B5" s="5">
        <f>8518</f>
        <v>8518</v>
      </c>
      <c r="C5" s="5">
        <f>3500</f>
        <v>3500</v>
      </c>
      <c r="D5" s="5">
        <f t="shared" si="0"/>
        <v>5018</v>
      </c>
      <c r="E5" s="6">
        <f t="shared" si="1"/>
        <v>2.4337142857142857</v>
      </c>
    </row>
    <row r="6" spans="1:6" x14ac:dyDescent="0.25">
      <c r="A6" s="3" t="s">
        <v>43</v>
      </c>
      <c r="B6" s="5">
        <f>770</f>
        <v>770</v>
      </c>
      <c r="C6" s="5">
        <f>150</f>
        <v>150</v>
      </c>
      <c r="D6" s="5">
        <f t="shared" si="0"/>
        <v>620</v>
      </c>
      <c r="E6" s="6">
        <f t="shared" si="1"/>
        <v>5.1333333333333337</v>
      </c>
    </row>
    <row r="7" spans="1:6" x14ac:dyDescent="0.25">
      <c r="A7" s="3" t="s">
        <v>44</v>
      </c>
      <c r="B7" s="5">
        <f>6950.08</f>
        <v>6950.08</v>
      </c>
      <c r="C7" s="5">
        <f>7200</f>
        <v>7200</v>
      </c>
      <c r="D7" s="5">
        <f t="shared" si="0"/>
        <v>-249.92000000000007</v>
      </c>
      <c r="E7" s="6">
        <f t="shared" si="1"/>
        <v>0.96528888888888886</v>
      </c>
    </row>
    <row r="8" spans="1:6" x14ac:dyDescent="0.25">
      <c r="A8" s="3" t="s">
        <v>45</v>
      </c>
      <c r="B8" s="7">
        <f>(((B4)+(B5))+(B6))+(B7)</f>
        <v>16238.08</v>
      </c>
      <c r="C8" s="7">
        <f>(((C4)+(C5))+(C6))+(C7)</f>
        <v>10850</v>
      </c>
      <c r="D8" s="7">
        <f t="shared" si="0"/>
        <v>5388.08</v>
      </c>
      <c r="E8" s="8">
        <f t="shared" si="1"/>
        <v>1.4965972350230414</v>
      </c>
    </row>
    <row r="9" spans="1:6" ht="15.75" x14ac:dyDescent="0.25">
      <c r="A9" s="13" t="s">
        <v>391</v>
      </c>
    </row>
    <row r="10" spans="1:6" x14ac:dyDescent="0.25">
      <c r="A10" s="3" t="s">
        <v>180</v>
      </c>
      <c r="B10" s="4"/>
      <c r="C10" s="4"/>
      <c r="D10" s="5">
        <f t="shared" ref="D10:D21" si="2">(B10)-(C10)</f>
        <v>0</v>
      </c>
      <c r="E10" s="6" t="str">
        <f t="shared" ref="E10:E21" si="3">IF(C10=0,"",(B10)/(C10))</f>
        <v/>
      </c>
    </row>
    <row r="11" spans="1:6" x14ac:dyDescent="0.25">
      <c r="A11" s="3" t="s">
        <v>181</v>
      </c>
      <c r="B11" s="5">
        <f>419</f>
        <v>419</v>
      </c>
      <c r="C11" s="5">
        <f>900</f>
        <v>900</v>
      </c>
      <c r="D11" s="5">
        <f t="shared" si="2"/>
        <v>-481</v>
      </c>
      <c r="E11" s="6">
        <f t="shared" si="3"/>
        <v>0.46555555555555556</v>
      </c>
    </row>
    <row r="12" spans="1:6" x14ac:dyDescent="0.25">
      <c r="A12" s="3" t="s">
        <v>182</v>
      </c>
      <c r="B12" s="4"/>
      <c r="C12" s="5">
        <f>2000</f>
        <v>2000</v>
      </c>
      <c r="D12" s="5">
        <f t="shared" si="2"/>
        <v>-2000</v>
      </c>
      <c r="E12" s="6">
        <f t="shared" si="3"/>
        <v>0</v>
      </c>
    </row>
    <row r="13" spans="1:6" x14ac:dyDescent="0.25">
      <c r="A13" s="3" t="s">
        <v>183</v>
      </c>
      <c r="B13" s="5">
        <f>717.04</f>
        <v>717.04</v>
      </c>
      <c r="C13" s="5">
        <f>1000</f>
        <v>1000</v>
      </c>
      <c r="D13" s="5">
        <f t="shared" si="2"/>
        <v>-282.96000000000004</v>
      </c>
      <c r="E13" s="6">
        <f t="shared" si="3"/>
        <v>0.71704000000000001</v>
      </c>
    </row>
    <row r="14" spans="1:6" x14ac:dyDescent="0.25">
      <c r="A14" s="3" t="s">
        <v>184</v>
      </c>
      <c r="B14" s="5">
        <f>610.4</f>
        <v>610.4</v>
      </c>
      <c r="C14" s="5">
        <f>1200</f>
        <v>1200</v>
      </c>
      <c r="D14" s="5">
        <f t="shared" si="2"/>
        <v>-589.6</v>
      </c>
      <c r="E14" s="6">
        <f t="shared" si="3"/>
        <v>0.5086666666666666</v>
      </c>
    </row>
    <row r="15" spans="1:6" x14ac:dyDescent="0.25">
      <c r="A15" s="3" t="s">
        <v>185</v>
      </c>
      <c r="B15" s="5">
        <f>2200</f>
        <v>2200</v>
      </c>
      <c r="C15" s="5">
        <f>3000</f>
        <v>3000</v>
      </c>
      <c r="D15" s="5">
        <f t="shared" si="2"/>
        <v>-800</v>
      </c>
      <c r="E15" s="6">
        <f t="shared" si="3"/>
        <v>0.73333333333333328</v>
      </c>
    </row>
    <row r="16" spans="1:6" x14ac:dyDescent="0.25">
      <c r="A16" s="3" t="s">
        <v>186</v>
      </c>
      <c r="B16" s="5">
        <f>2200</f>
        <v>2200</v>
      </c>
      <c r="C16" s="5">
        <f>3000</f>
        <v>3000</v>
      </c>
      <c r="D16" s="5">
        <f t="shared" si="2"/>
        <v>-800</v>
      </c>
      <c r="E16" s="6">
        <f t="shared" si="3"/>
        <v>0.73333333333333328</v>
      </c>
    </row>
    <row r="17" spans="1:5" x14ac:dyDescent="0.25">
      <c r="A17" s="3" t="s">
        <v>187</v>
      </c>
      <c r="B17" s="5">
        <f>320</f>
        <v>320</v>
      </c>
      <c r="C17" s="5">
        <f>400</f>
        <v>400</v>
      </c>
      <c r="D17" s="5">
        <f t="shared" si="2"/>
        <v>-80</v>
      </c>
      <c r="E17" s="6">
        <f t="shared" si="3"/>
        <v>0.8</v>
      </c>
    </row>
    <row r="18" spans="1:5" x14ac:dyDescent="0.25">
      <c r="A18" s="3" t="s">
        <v>188</v>
      </c>
      <c r="B18" s="5">
        <f>622.36</f>
        <v>622.36</v>
      </c>
      <c r="C18" s="5">
        <f>1200</f>
        <v>1200</v>
      </c>
      <c r="D18" s="5">
        <f t="shared" si="2"/>
        <v>-577.64</v>
      </c>
      <c r="E18" s="6">
        <f t="shared" si="3"/>
        <v>0.51863333333333339</v>
      </c>
    </row>
    <row r="19" spans="1:5" x14ac:dyDescent="0.25">
      <c r="A19" s="3" t="s">
        <v>189</v>
      </c>
      <c r="B19" s="5">
        <f>490</f>
        <v>490</v>
      </c>
      <c r="C19" s="5">
        <f>600</f>
        <v>600</v>
      </c>
      <c r="D19" s="5">
        <f t="shared" si="2"/>
        <v>-110</v>
      </c>
      <c r="E19" s="6">
        <f t="shared" si="3"/>
        <v>0.81666666666666665</v>
      </c>
    </row>
    <row r="20" spans="1:5" x14ac:dyDescent="0.25">
      <c r="A20" s="3" t="s">
        <v>190</v>
      </c>
      <c r="B20" s="5">
        <f>1440</f>
        <v>1440</v>
      </c>
      <c r="C20" s="5">
        <f>2400</f>
        <v>2400</v>
      </c>
      <c r="D20" s="5">
        <f t="shared" si="2"/>
        <v>-960</v>
      </c>
      <c r="E20" s="6">
        <f t="shared" si="3"/>
        <v>0.6</v>
      </c>
    </row>
    <row r="21" spans="1:5" x14ac:dyDescent="0.25">
      <c r="A21" s="3" t="s">
        <v>191</v>
      </c>
      <c r="B21" s="7">
        <f>((((((((((B10)+(B11))+(B12))+(B13))+(B14))+(B15))+(B16))+(B17))+(B18))+(B19))+(B20)</f>
        <v>9018.7999999999993</v>
      </c>
      <c r="C21" s="7">
        <f>((((((((((C10)+(C11))+(C12))+(C13))+(C14))+(C15))+(C16))+(C17))+(C18))+(C19))+(C20)</f>
        <v>15700</v>
      </c>
      <c r="D21" s="7">
        <f t="shared" si="2"/>
        <v>-6681.2000000000007</v>
      </c>
      <c r="E21" s="8">
        <f t="shared" si="3"/>
        <v>0.57444585987261143</v>
      </c>
    </row>
    <row r="23" spans="1:5" x14ac:dyDescent="0.25">
      <c r="A23" s="3" t="s">
        <v>392</v>
      </c>
      <c r="B23" s="12">
        <f>B8-B21</f>
        <v>7219.2800000000007</v>
      </c>
      <c r="C23" s="12">
        <f t="shared" ref="C23:E23" si="4">C8-C21</f>
        <v>-4850</v>
      </c>
      <c r="D23" s="12">
        <f t="shared" si="4"/>
        <v>12069.28</v>
      </c>
      <c r="E23" s="12">
        <f t="shared" si="4"/>
        <v>0.92215137515043</v>
      </c>
    </row>
  </sheetData>
  <mergeCells count="1">
    <mergeCell ref="B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4D0D5-8C75-4219-8370-441F882FEC97}">
  <dimension ref="A1:E23"/>
  <sheetViews>
    <sheetView workbookViewId="0"/>
  </sheetViews>
  <sheetFormatPr defaultRowHeight="15" x14ac:dyDescent="0.25"/>
  <cols>
    <col min="1" max="1" width="38" customWidth="1"/>
    <col min="2" max="2" width="12.28515625" bestFit="1" customWidth="1"/>
    <col min="3" max="3" width="11.5703125" bestFit="1" customWidth="1"/>
    <col min="4" max="4" width="12.28515625" bestFit="1" customWidth="1"/>
  </cols>
  <sheetData>
    <row r="1" spans="1:5" x14ac:dyDescent="0.25">
      <c r="A1" s="1"/>
      <c r="B1" s="52" t="s">
        <v>3</v>
      </c>
      <c r="C1" s="47"/>
      <c r="D1" s="47"/>
      <c r="E1" s="47"/>
    </row>
    <row r="2" spans="1:5" ht="24.75" x14ac:dyDescent="0.25">
      <c r="A2" s="1"/>
      <c r="B2" s="2" t="s">
        <v>4</v>
      </c>
      <c r="C2" s="2" t="s">
        <v>5</v>
      </c>
      <c r="D2" s="2" t="s">
        <v>6</v>
      </c>
      <c r="E2" s="2" t="s">
        <v>7</v>
      </c>
    </row>
    <row r="3" spans="1:5" ht="15.75" x14ac:dyDescent="0.25">
      <c r="A3" s="14" t="s">
        <v>390</v>
      </c>
      <c r="B3" s="10"/>
      <c r="C3" s="10"/>
      <c r="D3" s="10"/>
      <c r="E3" s="10"/>
    </row>
    <row r="4" spans="1:5" x14ac:dyDescent="0.25">
      <c r="A4" s="3" t="s">
        <v>36</v>
      </c>
      <c r="B4" s="4"/>
      <c r="C4" s="4"/>
      <c r="D4" s="5">
        <f t="shared" ref="D4:D8" si="0">(B4)-(C4)</f>
        <v>0</v>
      </c>
      <c r="E4" s="6" t="str">
        <f t="shared" ref="E4:E8" si="1">IF(C4=0,"",(B4)/(C4))</f>
        <v/>
      </c>
    </row>
    <row r="5" spans="1:5" x14ac:dyDescent="0.25">
      <c r="A5" s="3" t="s">
        <v>37</v>
      </c>
      <c r="B5" s="5">
        <f>70508</f>
        <v>70508</v>
      </c>
      <c r="C5" s="5">
        <f>36000</f>
        <v>36000</v>
      </c>
      <c r="D5" s="5">
        <f t="shared" si="0"/>
        <v>34508</v>
      </c>
      <c r="E5" s="6">
        <f t="shared" si="1"/>
        <v>1.9585555555555556</v>
      </c>
    </row>
    <row r="6" spans="1:5" x14ac:dyDescent="0.25">
      <c r="A6" s="3" t="s">
        <v>38</v>
      </c>
      <c r="B6" s="5">
        <f>117685.44</f>
        <v>117685.44</v>
      </c>
      <c r="C6" s="5">
        <f>90000</f>
        <v>90000</v>
      </c>
      <c r="D6" s="5">
        <f t="shared" si="0"/>
        <v>27685.440000000002</v>
      </c>
      <c r="E6" s="6">
        <f t="shared" si="1"/>
        <v>1.3076160000000001</v>
      </c>
    </row>
    <row r="7" spans="1:5" ht="23.25" x14ac:dyDescent="0.25">
      <c r="A7" s="3" t="s">
        <v>39</v>
      </c>
      <c r="B7" s="5">
        <f>4235</f>
        <v>4235</v>
      </c>
      <c r="C7" s="5">
        <f>2000</f>
        <v>2000</v>
      </c>
      <c r="D7" s="5">
        <f t="shared" si="0"/>
        <v>2235</v>
      </c>
      <c r="E7" s="6">
        <f t="shared" si="1"/>
        <v>2.1175000000000002</v>
      </c>
    </row>
    <row r="8" spans="1:5" x14ac:dyDescent="0.25">
      <c r="A8" s="3" t="s">
        <v>40</v>
      </c>
      <c r="B8" s="7">
        <f>(((B4)+(B5))+(B6))+(B7)</f>
        <v>192428.44</v>
      </c>
      <c r="C8" s="7">
        <f>(((C4)+(C5))+(C6))+(C7)</f>
        <v>128000</v>
      </c>
      <c r="D8" s="7">
        <f t="shared" si="0"/>
        <v>64428.44</v>
      </c>
      <c r="E8" s="8">
        <f t="shared" si="1"/>
        <v>1.5033471875</v>
      </c>
    </row>
    <row r="9" spans="1:5" ht="15.75" x14ac:dyDescent="0.25">
      <c r="A9" s="13" t="s">
        <v>391</v>
      </c>
    </row>
    <row r="10" spans="1:5" x14ac:dyDescent="0.25">
      <c r="A10" s="3" t="s">
        <v>157</v>
      </c>
      <c r="B10" s="4"/>
      <c r="C10" s="4"/>
      <c r="D10" s="5">
        <f t="shared" ref="D10:D21" si="2">(B10)-(C10)</f>
        <v>0</v>
      </c>
      <c r="E10" s="6" t="str">
        <f t="shared" ref="E10:E21" si="3">IF(C10=0,"",(B10)/(C10))</f>
        <v/>
      </c>
    </row>
    <row r="11" spans="1:5" x14ac:dyDescent="0.25">
      <c r="A11" s="3" t="s">
        <v>158</v>
      </c>
      <c r="B11" s="5">
        <f>7380.95</f>
        <v>7380.95</v>
      </c>
      <c r="C11" s="5">
        <f>7500</f>
        <v>7500</v>
      </c>
      <c r="D11" s="5">
        <f t="shared" si="2"/>
        <v>-119.05000000000018</v>
      </c>
      <c r="E11" s="6">
        <f t="shared" si="3"/>
        <v>0.98412666666666659</v>
      </c>
    </row>
    <row r="12" spans="1:5" x14ac:dyDescent="0.25">
      <c r="A12" s="3" t="s">
        <v>159</v>
      </c>
      <c r="B12" s="4"/>
      <c r="C12" s="5">
        <f>20000</f>
        <v>20000</v>
      </c>
      <c r="D12" s="5">
        <f t="shared" si="2"/>
        <v>-20000</v>
      </c>
      <c r="E12" s="6">
        <f t="shared" si="3"/>
        <v>0</v>
      </c>
    </row>
    <row r="13" spans="1:5" x14ac:dyDescent="0.25">
      <c r="A13" s="3" t="s">
        <v>160</v>
      </c>
      <c r="B13" s="5">
        <f>5224.19</f>
        <v>5224.1899999999996</v>
      </c>
      <c r="C13" s="5">
        <f>5100</f>
        <v>5100</v>
      </c>
      <c r="D13" s="5">
        <f t="shared" si="2"/>
        <v>124.1899999999996</v>
      </c>
      <c r="E13" s="6">
        <f t="shared" si="3"/>
        <v>1.0243509803921569</v>
      </c>
    </row>
    <row r="14" spans="1:5" x14ac:dyDescent="0.25">
      <c r="A14" s="3" t="s">
        <v>161</v>
      </c>
      <c r="B14" s="5">
        <f>8559.23</f>
        <v>8559.23</v>
      </c>
      <c r="C14" s="5">
        <f>5000</f>
        <v>5000</v>
      </c>
      <c r="D14" s="5">
        <f t="shared" si="2"/>
        <v>3559.2299999999996</v>
      </c>
      <c r="E14" s="6">
        <f t="shared" si="3"/>
        <v>1.711846</v>
      </c>
    </row>
    <row r="15" spans="1:5" x14ac:dyDescent="0.25">
      <c r="A15" s="3" t="s">
        <v>162</v>
      </c>
      <c r="B15" s="5">
        <f>21499</f>
        <v>21499</v>
      </c>
      <c r="C15" s="5">
        <f>19000</f>
        <v>19000</v>
      </c>
      <c r="D15" s="5">
        <f t="shared" si="2"/>
        <v>2499</v>
      </c>
      <c r="E15" s="6">
        <f t="shared" si="3"/>
        <v>1.1315263157894737</v>
      </c>
    </row>
    <row r="16" spans="1:5" x14ac:dyDescent="0.25">
      <c r="A16" s="3" t="s">
        <v>163</v>
      </c>
      <c r="B16" s="5">
        <f>13500</f>
        <v>13500</v>
      </c>
      <c r="C16" s="5">
        <f>11000</f>
        <v>11000</v>
      </c>
      <c r="D16" s="5">
        <f t="shared" si="2"/>
        <v>2500</v>
      </c>
      <c r="E16" s="6">
        <f t="shared" si="3"/>
        <v>1.2272727272727273</v>
      </c>
    </row>
    <row r="17" spans="1:5" x14ac:dyDescent="0.25">
      <c r="A17" s="3" t="s">
        <v>164</v>
      </c>
      <c r="B17" s="5">
        <f>2200</f>
        <v>2200</v>
      </c>
      <c r="C17" s="5">
        <f>2000</f>
        <v>2000</v>
      </c>
      <c r="D17" s="5">
        <f t="shared" si="2"/>
        <v>200</v>
      </c>
      <c r="E17" s="6">
        <f t="shared" si="3"/>
        <v>1.1000000000000001</v>
      </c>
    </row>
    <row r="18" spans="1:5" x14ac:dyDescent="0.25">
      <c r="A18" s="3" t="s">
        <v>165</v>
      </c>
      <c r="B18" s="5">
        <f>8418.39</f>
        <v>8418.39</v>
      </c>
      <c r="C18" s="5">
        <f>4000</f>
        <v>4000</v>
      </c>
      <c r="D18" s="5">
        <f t="shared" si="2"/>
        <v>4418.3899999999994</v>
      </c>
      <c r="E18" s="6">
        <f t="shared" si="3"/>
        <v>2.1045974999999997</v>
      </c>
    </row>
    <row r="19" spans="1:5" x14ac:dyDescent="0.25">
      <c r="A19" s="3" t="s">
        <v>166</v>
      </c>
      <c r="B19" s="5">
        <f>3545</f>
        <v>3545</v>
      </c>
      <c r="C19" s="5">
        <f>4500</f>
        <v>4500</v>
      </c>
      <c r="D19" s="5">
        <f t="shared" si="2"/>
        <v>-955</v>
      </c>
      <c r="E19" s="6">
        <f t="shared" si="3"/>
        <v>0.7877777777777778</v>
      </c>
    </row>
    <row r="20" spans="1:5" x14ac:dyDescent="0.25">
      <c r="A20" s="3" t="s">
        <v>167</v>
      </c>
      <c r="B20" s="5">
        <f>11700</f>
        <v>11700</v>
      </c>
      <c r="C20" s="5">
        <f>8000</f>
        <v>8000</v>
      </c>
      <c r="D20" s="5">
        <f t="shared" si="2"/>
        <v>3700</v>
      </c>
      <c r="E20" s="6">
        <f t="shared" si="3"/>
        <v>1.4624999999999999</v>
      </c>
    </row>
    <row r="21" spans="1:5" x14ac:dyDescent="0.25">
      <c r="A21" s="3" t="s">
        <v>168</v>
      </c>
      <c r="B21" s="7">
        <f>((((((((((B10)+(B11))+(B12))+(B13))+(B14))+(B15))+(B16))+(B17))+(B18))+(B19))+(B20)</f>
        <v>82026.759999999995</v>
      </c>
      <c r="C21" s="7">
        <f>((((((((((C10)+(C11))+(C12))+(C13))+(C14))+(C15))+(C16))+(C17))+(C18))+(C19))+(C20)</f>
        <v>86100</v>
      </c>
      <c r="D21" s="7">
        <f t="shared" si="2"/>
        <v>-4073.2400000000052</v>
      </c>
      <c r="E21" s="8">
        <f t="shared" si="3"/>
        <v>0.95269175377468052</v>
      </c>
    </row>
    <row r="23" spans="1:5" x14ac:dyDescent="0.25">
      <c r="A23" s="3" t="s">
        <v>392</v>
      </c>
      <c r="B23" s="12">
        <f>B8-B21</f>
        <v>110401.68000000001</v>
      </c>
      <c r="C23" s="12">
        <f t="shared" ref="C23:E23" si="4">C8-C21</f>
        <v>41900</v>
      </c>
      <c r="D23" s="12">
        <f t="shared" si="4"/>
        <v>68501.680000000008</v>
      </c>
      <c r="E23" s="12">
        <f t="shared" si="4"/>
        <v>0.55065543372531944</v>
      </c>
    </row>
  </sheetData>
  <mergeCells count="1">
    <mergeCell ref="B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97095-3A4B-467D-8B97-D53CAADF83F3}">
  <dimension ref="A1:E22"/>
  <sheetViews>
    <sheetView workbookViewId="0"/>
  </sheetViews>
  <sheetFormatPr defaultRowHeight="15" x14ac:dyDescent="0.25"/>
  <cols>
    <col min="1" max="1" width="45.85546875" customWidth="1"/>
    <col min="2" max="2" width="11.5703125" bestFit="1" customWidth="1"/>
    <col min="3" max="3" width="11.28515625" bestFit="1" customWidth="1"/>
    <col min="4" max="4" width="11.5703125" bestFit="1" customWidth="1"/>
  </cols>
  <sheetData>
    <row r="1" spans="1:5" x14ac:dyDescent="0.25">
      <c r="A1" s="1"/>
      <c r="B1" s="52" t="s">
        <v>3</v>
      </c>
      <c r="C1" s="47"/>
      <c r="D1" s="47"/>
      <c r="E1" s="47"/>
    </row>
    <row r="2" spans="1:5" ht="24.75" x14ac:dyDescent="0.25">
      <c r="A2" s="1"/>
      <c r="B2" s="2" t="s">
        <v>4</v>
      </c>
      <c r="C2" s="2" t="s">
        <v>5</v>
      </c>
      <c r="D2" s="2" t="s">
        <v>6</v>
      </c>
      <c r="E2" s="2" t="s">
        <v>7</v>
      </c>
    </row>
    <row r="3" spans="1:5" ht="15.75" x14ac:dyDescent="0.25">
      <c r="A3" s="14" t="s">
        <v>390</v>
      </c>
      <c r="B3" s="10"/>
      <c r="C3" s="10"/>
      <c r="D3" s="10"/>
      <c r="E3" s="10"/>
    </row>
    <row r="4" spans="1:5" x14ac:dyDescent="0.25">
      <c r="A4" s="3" t="s">
        <v>31</v>
      </c>
      <c r="B4" s="4"/>
      <c r="C4" s="4"/>
      <c r="D4" s="5">
        <f t="shared" ref="D4:D8" si="0">(B4)-(C4)</f>
        <v>0</v>
      </c>
      <c r="E4" s="6" t="str">
        <f t="shared" ref="E4:E8" si="1">IF(C4=0,"",(B4)/(C4))</f>
        <v/>
      </c>
    </row>
    <row r="5" spans="1:5" x14ac:dyDescent="0.25">
      <c r="A5" s="3" t="s">
        <v>32</v>
      </c>
      <c r="B5" s="5">
        <f>25903.04</f>
        <v>25903.040000000001</v>
      </c>
      <c r="C5" s="5">
        <f>26000</f>
        <v>26000</v>
      </c>
      <c r="D5" s="5">
        <f t="shared" si="0"/>
        <v>-96.959999999999127</v>
      </c>
      <c r="E5" s="6">
        <f t="shared" si="1"/>
        <v>0.99627076923076929</v>
      </c>
    </row>
    <row r="6" spans="1:5" x14ac:dyDescent="0.25">
      <c r="A6" s="3" t="s">
        <v>33</v>
      </c>
      <c r="B6" s="5">
        <f>67290.91</f>
        <v>67290.91</v>
      </c>
      <c r="C6" s="5">
        <f>54250</f>
        <v>54250</v>
      </c>
      <c r="D6" s="5">
        <f t="shared" si="0"/>
        <v>13040.910000000003</v>
      </c>
      <c r="E6" s="6">
        <f t="shared" si="1"/>
        <v>1.2403854377880186</v>
      </c>
    </row>
    <row r="7" spans="1:5" x14ac:dyDescent="0.25">
      <c r="A7" s="3" t="s">
        <v>34</v>
      </c>
      <c r="B7" s="5">
        <f>942.65</f>
        <v>942.65</v>
      </c>
      <c r="C7" s="5">
        <f>200</f>
        <v>200</v>
      </c>
      <c r="D7" s="5">
        <f t="shared" si="0"/>
        <v>742.65</v>
      </c>
      <c r="E7" s="6">
        <f t="shared" si="1"/>
        <v>4.7132499999999995</v>
      </c>
    </row>
    <row r="8" spans="1:5" x14ac:dyDescent="0.25">
      <c r="A8" s="3" t="s">
        <v>35</v>
      </c>
      <c r="B8" s="7">
        <f>(((B4)+(B5))+(B6))+(B7)</f>
        <v>94136.6</v>
      </c>
      <c r="C8" s="7">
        <f>(((C4)+(C5))+(C6))+(C7)</f>
        <v>80450</v>
      </c>
      <c r="D8" s="7">
        <f t="shared" si="0"/>
        <v>13686.600000000006</v>
      </c>
      <c r="E8" s="8">
        <f t="shared" si="1"/>
        <v>1.170125543816035</v>
      </c>
    </row>
    <row r="9" spans="1:5" ht="15.75" x14ac:dyDescent="0.25">
      <c r="A9" s="13" t="s">
        <v>391</v>
      </c>
    </row>
    <row r="10" spans="1:5" x14ac:dyDescent="0.25">
      <c r="A10" s="3" t="s">
        <v>169</v>
      </c>
      <c r="B10" s="4"/>
      <c r="C10" s="4"/>
      <c r="D10" s="5">
        <f t="shared" ref="D10:D20" si="2">(B10)-(C10)</f>
        <v>0</v>
      </c>
      <c r="E10" s="6" t="str">
        <f t="shared" ref="E10:E20" si="3">IF(C10=0,"",(B10)/(C10))</f>
        <v/>
      </c>
    </row>
    <row r="11" spans="1:5" x14ac:dyDescent="0.25">
      <c r="A11" s="3" t="s">
        <v>170</v>
      </c>
      <c r="B11" s="5">
        <f>15550.99</f>
        <v>15550.99</v>
      </c>
      <c r="C11" s="5">
        <f>10000</f>
        <v>10000</v>
      </c>
      <c r="D11" s="5">
        <f t="shared" si="2"/>
        <v>5550.99</v>
      </c>
      <c r="E11" s="6">
        <f t="shared" si="3"/>
        <v>1.555099</v>
      </c>
    </row>
    <row r="12" spans="1:5" x14ac:dyDescent="0.25">
      <c r="A12" s="3" t="s">
        <v>171</v>
      </c>
      <c r="B12" s="5">
        <f>3550.11</f>
        <v>3550.11</v>
      </c>
      <c r="C12" s="5">
        <f>3000</f>
        <v>3000</v>
      </c>
      <c r="D12" s="5">
        <f t="shared" si="2"/>
        <v>550.11000000000013</v>
      </c>
      <c r="E12" s="6">
        <f t="shared" si="3"/>
        <v>1.18337</v>
      </c>
    </row>
    <row r="13" spans="1:5" x14ac:dyDescent="0.25">
      <c r="A13" s="3" t="s">
        <v>172</v>
      </c>
      <c r="B13" s="5">
        <f>5943.9</f>
        <v>5943.9</v>
      </c>
      <c r="C13" s="5">
        <f>9000</f>
        <v>9000</v>
      </c>
      <c r="D13" s="5">
        <f t="shared" si="2"/>
        <v>-3056.1000000000004</v>
      </c>
      <c r="E13" s="6">
        <f t="shared" si="3"/>
        <v>0.66043333333333332</v>
      </c>
    </row>
    <row r="14" spans="1:5" x14ac:dyDescent="0.25">
      <c r="A14" s="3" t="s">
        <v>173</v>
      </c>
      <c r="B14" s="5">
        <f>6200</f>
        <v>6200</v>
      </c>
      <c r="C14" s="5">
        <f>7500</f>
        <v>7500</v>
      </c>
      <c r="D14" s="5">
        <f t="shared" si="2"/>
        <v>-1300</v>
      </c>
      <c r="E14" s="6">
        <f t="shared" si="3"/>
        <v>0.82666666666666666</v>
      </c>
    </row>
    <row r="15" spans="1:5" x14ac:dyDescent="0.25">
      <c r="A15" s="3" t="s">
        <v>174</v>
      </c>
      <c r="B15" s="5">
        <f>4250</f>
        <v>4250</v>
      </c>
      <c r="C15" s="5">
        <f>5350</f>
        <v>5350</v>
      </c>
      <c r="D15" s="5">
        <f t="shared" si="2"/>
        <v>-1100</v>
      </c>
      <c r="E15" s="6">
        <f t="shared" si="3"/>
        <v>0.79439252336448596</v>
      </c>
    </row>
    <row r="16" spans="1:5" x14ac:dyDescent="0.25">
      <c r="A16" s="3" t="s">
        <v>175</v>
      </c>
      <c r="B16" s="5">
        <f>1550</f>
        <v>1550</v>
      </c>
      <c r="C16" s="5">
        <f>1840</f>
        <v>1840</v>
      </c>
      <c r="D16" s="5">
        <f t="shared" si="2"/>
        <v>-290</v>
      </c>
      <c r="E16" s="6">
        <f t="shared" si="3"/>
        <v>0.84239130434782605</v>
      </c>
    </row>
    <row r="17" spans="1:5" x14ac:dyDescent="0.25">
      <c r="A17" s="3" t="s">
        <v>176</v>
      </c>
      <c r="B17" s="5">
        <f>1648.93</f>
        <v>1648.93</v>
      </c>
      <c r="C17" s="5">
        <f>4000</f>
        <v>4000</v>
      </c>
      <c r="D17" s="5">
        <f t="shared" si="2"/>
        <v>-2351.0699999999997</v>
      </c>
      <c r="E17" s="6">
        <f t="shared" si="3"/>
        <v>0.4122325</v>
      </c>
    </row>
    <row r="18" spans="1:5" x14ac:dyDescent="0.25">
      <c r="A18" s="3" t="s">
        <v>177</v>
      </c>
      <c r="B18" s="5">
        <f>2070</f>
        <v>2070</v>
      </c>
      <c r="C18" s="5">
        <f>2400</f>
        <v>2400</v>
      </c>
      <c r="D18" s="5">
        <f t="shared" si="2"/>
        <v>-330</v>
      </c>
      <c r="E18" s="6">
        <f t="shared" si="3"/>
        <v>0.86250000000000004</v>
      </c>
    </row>
    <row r="19" spans="1:5" x14ac:dyDescent="0.25">
      <c r="A19" s="3" t="s">
        <v>178</v>
      </c>
      <c r="B19" s="5">
        <f>7985</f>
        <v>7985</v>
      </c>
      <c r="C19" s="5">
        <f>8000</f>
        <v>8000</v>
      </c>
      <c r="D19" s="5">
        <f t="shared" si="2"/>
        <v>-15</v>
      </c>
      <c r="E19" s="6">
        <f t="shared" si="3"/>
        <v>0.99812500000000004</v>
      </c>
    </row>
    <row r="20" spans="1:5" x14ac:dyDescent="0.25">
      <c r="A20" s="3" t="s">
        <v>179</v>
      </c>
      <c r="B20" s="7">
        <f>(((((((((B10)+(B11))+(B12))+(B13))+(B14))+(B15))+(B16))+(B17))+(B18))+(B19)</f>
        <v>48748.93</v>
      </c>
      <c r="C20" s="7">
        <f>(((((((((C10)+(C11))+(C12))+(C13))+(C14))+(C15))+(C16))+(C17))+(C18))+(C19)</f>
        <v>51090</v>
      </c>
      <c r="D20" s="7">
        <f t="shared" si="2"/>
        <v>-2341.0699999999997</v>
      </c>
      <c r="E20" s="8">
        <f t="shared" si="3"/>
        <v>0.95417752984928561</v>
      </c>
    </row>
    <row r="22" spans="1:5" x14ac:dyDescent="0.25">
      <c r="A22" s="3" t="s">
        <v>392</v>
      </c>
      <c r="B22" s="12">
        <f>B8-B20</f>
        <v>45387.670000000006</v>
      </c>
      <c r="C22" s="12">
        <f t="shared" ref="C22:E22" si="4">C8-C20</f>
        <v>29360</v>
      </c>
      <c r="D22" s="12">
        <f t="shared" si="4"/>
        <v>16027.670000000006</v>
      </c>
      <c r="E22" s="12">
        <f t="shared" si="4"/>
        <v>0.21594801396674934</v>
      </c>
    </row>
  </sheetData>
  <mergeCells count="1">
    <mergeCell ref="B1:E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B5EBF-8CFA-4696-97AA-A126D2574D5A}">
  <dimension ref="A1:F15"/>
  <sheetViews>
    <sheetView workbookViewId="0">
      <selection activeCell="B9" sqref="B9"/>
    </sheetView>
  </sheetViews>
  <sheetFormatPr defaultRowHeight="15" x14ac:dyDescent="0.25"/>
  <cols>
    <col min="1" max="1" width="44.140625" customWidth="1"/>
    <col min="2" max="2" width="12.28515625" bestFit="1" customWidth="1"/>
    <col min="3" max="4" width="11.28515625" bestFit="1" customWidth="1"/>
    <col min="6" max="6" width="35.7109375" customWidth="1"/>
  </cols>
  <sheetData>
    <row r="1" spans="1:6" x14ac:dyDescent="0.25">
      <c r="A1" s="1"/>
      <c r="B1" s="52" t="s">
        <v>3</v>
      </c>
      <c r="C1" s="47"/>
      <c r="D1" s="47"/>
      <c r="E1" s="47"/>
    </row>
    <row r="2" spans="1:6" ht="24" customHeight="1" x14ac:dyDescent="0.25">
      <c r="A2" s="1"/>
      <c r="B2" s="2" t="s">
        <v>4</v>
      </c>
      <c r="C2" s="2" t="s">
        <v>5</v>
      </c>
      <c r="D2" s="2" t="s">
        <v>6</v>
      </c>
      <c r="E2" s="2" t="s">
        <v>7</v>
      </c>
      <c r="F2" s="10" t="s">
        <v>395</v>
      </c>
    </row>
    <row r="3" spans="1:6" ht="15.75" x14ac:dyDescent="0.25">
      <c r="A3" s="11" t="s">
        <v>390</v>
      </c>
      <c r="B3" s="10"/>
      <c r="C3" s="10"/>
      <c r="D3" s="10"/>
      <c r="E3" s="10"/>
    </row>
    <row r="4" spans="1:6" x14ac:dyDescent="0.25">
      <c r="A4" s="3" t="s">
        <v>48</v>
      </c>
      <c r="B4" s="5">
        <f>15752.09</f>
        <v>15752.09</v>
      </c>
      <c r="C4" s="5">
        <f>17225</f>
        <v>17225</v>
      </c>
      <c r="D4" s="5">
        <f t="shared" ref="D4" si="0">(B4)-(C4)</f>
        <v>-1472.9099999999999</v>
      </c>
      <c r="E4" s="6">
        <f t="shared" ref="E4" si="1">IF(C4=0,"",(B4)/(C4))</f>
        <v>0.91448998548621196</v>
      </c>
    </row>
    <row r="6" spans="1:6" ht="15.75" x14ac:dyDescent="0.25">
      <c r="A6" s="15" t="s">
        <v>391</v>
      </c>
    </row>
    <row r="7" spans="1:6" x14ac:dyDescent="0.25">
      <c r="A7" s="3" t="s">
        <v>203</v>
      </c>
      <c r="B7" s="4"/>
      <c r="C7" s="4"/>
      <c r="D7" s="5">
        <f t="shared" ref="D7:D11" si="2">(B7)-(C7)</f>
        <v>0</v>
      </c>
      <c r="E7" s="6" t="str">
        <f t="shared" ref="E7:E11" si="3">IF(C7=0,"",(B7)/(C7))</f>
        <v/>
      </c>
    </row>
    <row r="8" spans="1:6" x14ac:dyDescent="0.25">
      <c r="A8" s="3" t="s">
        <v>204</v>
      </c>
      <c r="B8" s="4"/>
      <c r="C8" s="5">
        <f>1200</f>
        <v>1200</v>
      </c>
      <c r="D8" s="5">
        <f t="shared" si="2"/>
        <v>-1200</v>
      </c>
      <c r="E8" s="6">
        <f t="shared" si="3"/>
        <v>0</v>
      </c>
    </row>
    <row r="9" spans="1:6" x14ac:dyDescent="0.25">
      <c r="A9" s="3" t="s">
        <v>205</v>
      </c>
      <c r="B9" s="5">
        <f>16975</f>
        <v>16975</v>
      </c>
      <c r="C9" s="5">
        <f>19000</f>
        <v>19000</v>
      </c>
      <c r="D9" s="5">
        <f t="shared" si="2"/>
        <v>-2025</v>
      </c>
      <c r="E9" s="6">
        <f t="shared" si="3"/>
        <v>0.89342105263157889</v>
      </c>
    </row>
    <row r="10" spans="1:6" x14ac:dyDescent="0.25">
      <c r="A10" s="3" t="s">
        <v>212</v>
      </c>
      <c r="B10" s="5">
        <f>706.52</f>
        <v>706.52</v>
      </c>
      <c r="C10" s="5">
        <f>300</f>
        <v>300</v>
      </c>
      <c r="D10" s="5">
        <f t="shared" si="2"/>
        <v>406.52</v>
      </c>
      <c r="E10" s="6">
        <f t="shared" si="3"/>
        <v>2.3550666666666666</v>
      </c>
    </row>
    <row r="11" spans="1:6" x14ac:dyDescent="0.25">
      <c r="A11" s="3" t="s">
        <v>213</v>
      </c>
      <c r="B11" s="7">
        <f>(((B7)+(B8))+(B9))+(B10)</f>
        <v>17681.52</v>
      </c>
      <c r="C11" s="7">
        <f>(((C7)+(C8))+(C9))+(C10)</f>
        <v>20500</v>
      </c>
      <c r="D11" s="7">
        <f t="shared" si="2"/>
        <v>-2818.4799999999996</v>
      </c>
      <c r="E11" s="8">
        <f t="shared" si="3"/>
        <v>0.8625131707317073</v>
      </c>
    </row>
    <row r="13" spans="1:6" x14ac:dyDescent="0.25">
      <c r="A13" s="3" t="s">
        <v>392</v>
      </c>
      <c r="B13" s="12">
        <f>B4-B11</f>
        <v>-1929.4300000000003</v>
      </c>
      <c r="C13" s="12">
        <f t="shared" ref="C13:E13" si="4">C4-C11</f>
        <v>-3275</v>
      </c>
      <c r="D13" s="12">
        <f t="shared" si="4"/>
        <v>1345.5699999999997</v>
      </c>
      <c r="E13" s="12">
        <f t="shared" si="4"/>
        <v>5.1976814754504663E-2</v>
      </c>
    </row>
    <row r="15" spans="1:6" x14ac:dyDescent="0.25">
      <c r="A15" s="3"/>
    </row>
  </sheetData>
  <mergeCells count="1">
    <mergeCell ref="B1: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5C7C4-31AD-4D31-95D4-7B65496C6FB4}">
  <dimension ref="A1:E22"/>
  <sheetViews>
    <sheetView workbookViewId="0"/>
  </sheetViews>
  <sheetFormatPr defaultRowHeight="15" x14ac:dyDescent="0.25"/>
  <cols>
    <col min="1" max="1" width="43.140625" customWidth="1"/>
    <col min="2" max="3" width="11.85546875" bestFit="1" customWidth="1"/>
    <col min="4" max="4" width="11.28515625" bestFit="1" customWidth="1"/>
  </cols>
  <sheetData>
    <row r="1" spans="1:5" x14ac:dyDescent="0.25">
      <c r="A1" s="1"/>
      <c r="B1" s="52" t="s">
        <v>3</v>
      </c>
      <c r="C1" s="47"/>
      <c r="D1" s="47"/>
      <c r="E1" s="47"/>
    </row>
    <row r="2" spans="1:5" ht="24.75" x14ac:dyDescent="0.25">
      <c r="A2" s="1"/>
      <c r="B2" s="2" t="s">
        <v>4</v>
      </c>
      <c r="C2" s="2" t="s">
        <v>5</v>
      </c>
      <c r="D2" s="2" t="s">
        <v>6</v>
      </c>
      <c r="E2" s="2" t="s">
        <v>7</v>
      </c>
    </row>
    <row r="3" spans="1:5" ht="15.75" x14ac:dyDescent="0.25">
      <c r="A3" s="11" t="s">
        <v>390</v>
      </c>
      <c r="B3" s="10"/>
      <c r="C3" s="10"/>
      <c r="D3" s="10"/>
      <c r="E3" s="10"/>
    </row>
    <row r="4" spans="1:5" x14ac:dyDescent="0.25">
      <c r="A4" s="3" t="s">
        <v>67</v>
      </c>
      <c r="B4" s="5">
        <f>28868.06</f>
        <v>28868.06</v>
      </c>
      <c r="C4" s="5">
        <f>24000</f>
        <v>24000</v>
      </c>
      <c r="D4" s="5">
        <f t="shared" ref="D4:D5" si="0">(B4)-(C4)</f>
        <v>4868.0600000000013</v>
      </c>
      <c r="E4" s="6">
        <f t="shared" ref="E4:E5" si="1">IF(C4=0,"",(B4)/(C4))</f>
        <v>1.2028358333333333</v>
      </c>
    </row>
    <row r="5" spans="1:5" x14ac:dyDescent="0.25">
      <c r="A5" s="3" t="s">
        <v>68</v>
      </c>
      <c r="B5" s="5">
        <f>48443</f>
        <v>48443</v>
      </c>
      <c r="C5" s="5">
        <f>50000</f>
        <v>50000</v>
      </c>
      <c r="D5" s="5">
        <f t="shared" si="0"/>
        <v>-1557</v>
      </c>
      <c r="E5" s="6">
        <f t="shared" si="1"/>
        <v>0.96886000000000005</v>
      </c>
    </row>
    <row r="6" spans="1:5" ht="15.75" x14ac:dyDescent="0.25">
      <c r="A6" s="15" t="s">
        <v>396</v>
      </c>
      <c r="B6" s="17">
        <f>SUM(B4:B5)</f>
        <v>77311.06</v>
      </c>
      <c r="C6" s="17">
        <f>SUM(C4:C5)</f>
        <v>74000</v>
      </c>
      <c r="D6" s="17">
        <f>SUM(D4:D5)</f>
        <v>3311.0600000000013</v>
      </c>
    </row>
    <row r="7" spans="1:5" ht="15.75" x14ac:dyDescent="0.25">
      <c r="A7" s="15" t="s">
        <v>391</v>
      </c>
    </row>
    <row r="8" spans="1:5" x14ac:dyDescent="0.25">
      <c r="A8" s="3" t="s">
        <v>307</v>
      </c>
      <c r="B8" s="4"/>
      <c r="C8" s="4"/>
      <c r="D8" s="5">
        <f t="shared" ref="D8:D20" si="2">(B8)-(C8)</f>
        <v>0</v>
      </c>
      <c r="E8" s="6" t="str">
        <f t="shared" ref="E8:E20" si="3">IF(C8=0,"",(B8)/(C8))</f>
        <v/>
      </c>
    </row>
    <row r="9" spans="1:5" x14ac:dyDescent="0.25">
      <c r="A9" s="3" t="s">
        <v>308</v>
      </c>
      <c r="B9" s="5">
        <f>2522.4</f>
        <v>2522.4</v>
      </c>
      <c r="C9" s="5">
        <f>2600</f>
        <v>2600</v>
      </c>
      <c r="D9" s="5">
        <f t="shared" si="2"/>
        <v>-77.599999999999909</v>
      </c>
      <c r="E9" s="6">
        <f t="shared" si="3"/>
        <v>0.97015384615384614</v>
      </c>
    </row>
    <row r="10" spans="1:5" x14ac:dyDescent="0.25">
      <c r="A10" s="3" t="s">
        <v>309</v>
      </c>
      <c r="B10" s="5">
        <f>8625</f>
        <v>8625</v>
      </c>
      <c r="C10" s="4"/>
      <c r="D10" s="5">
        <f t="shared" si="2"/>
        <v>8625</v>
      </c>
      <c r="E10" s="6" t="str">
        <f t="shared" si="3"/>
        <v/>
      </c>
    </row>
    <row r="11" spans="1:5" x14ac:dyDescent="0.25">
      <c r="A11" s="3" t="s">
        <v>310</v>
      </c>
      <c r="B11" s="5">
        <f>8088.88</f>
        <v>8088.88</v>
      </c>
      <c r="C11" s="5">
        <f>6500</f>
        <v>6500</v>
      </c>
      <c r="D11" s="5">
        <f t="shared" si="2"/>
        <v>1588.88</v>
      </c>
      <c r="E11" s="6">
        <f t="shared" si="3"/>
        <v>1.244443076923077</v>
      </c>
    </row>
    <row r="12" spans="1:5" x14ac:dyDescent="0.25">
      <c r="A12" s="3" t="s">
        <v>311</v>
      </c>
      <c r="B12" s="5">
        <f>19894.68</f>
        <v>19894.68</v>
      </c>
      <c r="C12" s="5">
        <f>21000</f>
        <v>21000</v>
      </c>
      <c r="D12" s="5">
        <f t="shared" si="2"/>
        <v>-1105.3199999999997</v>
      </c>
      <c r="E12" s="6">
        <f t="shared" si="3"/>
        <v>0.94736571428571426</v>
      </c>
    </row>
    <row r="13" spans="1:5" x14ac:dyDescent="0.25">
      <c r="A13" s="3" t="s">
        <v>312</v>
      </c>
      <c r="B13" s="5">
        <f>15300</f>
        <v>15300</v>
      </c>
      <c r="C13" s="5">
        <f>15000</f>
        <v>15000</v>
      </c>
      <c r="D13" s="5">
        <f t="shared" si="2"/>
        <v>300</v>
      </c>
      <c r="E13" s="6">
        <f t="shared" si="3"/>
        <v>1.02</v>
      </c>
    </row>
    <row r="14" spans="1:5" x14ac:dyDescent="0.25">
      <c r="A14" s="3" t="s">
        <v>313</v>
      </c>
      <c r="B14" s="5">
        <f>1120.25</f>
        <v>1120.25</v>
      </c>
      <c r="C14" s="5">
        <f>1700</f>
        <v>1700</v>
      </c>
      <c r="D14" s="5">
        <f t="shared" si="2"/>
        <v>-579.75</v>
      </c>
      <c r="E14" s="6">
        <f t="shared" si="3"/>
        <v>0.65897058823529409</v>
      </c>
    </row>
    <row r="15" spans="1:5" x14ac:dyDescent="0.25">
      <c r="A15" s="3" t="s">
        <v>314</v>
      </c>
      <c r="B15" s="5">
        <f>2700</f>
        <v>2700</v>
      </c>
      <c r="C15" s="5">
        <f>3700</f>
        <v>3700</v>
      </c>
      <c r="D15" s="5">
        <f t="shared" si="2"/>
        <v>-1000</v>
      </c>
      <c r="E15" s="6">
        <f t="shared" si="3"/>
        <v>0.72972972972972971</v>
      </c>
    </row>
    <row r="16" spans="1:5" x14ac:dyDescent="0.25">
      <c r="A16" s="3" t="s">
        <v>315</v>
      </c>
      <c r="B16" s="5">
        <f>7924.16</f>
        <v>7924.16</v>
      </c>
      <c r="C16" s="5">
        <f>6500</f>
        <v>6500</v>
      </c>
      <c r="D16" s="5">
        <f t="shared" si="2"/>
        <v>1424.1599999999999</v>
      </c>
      <c r="E16" s="6">
        <f t="shared" si="3"/>
        <v>1.2191015384615385</v>
      </c>
    </row>
    <row r="17" spans="1:5" x14ac:dyDescent="0.25">
      <c r="A17" s="3" t="s">
        <v>316</v>
      </c>
      <c r="B17" s="5">
        <f>6800</f>
        <v>6800</v>
      </c>
      <c r="C17" s="5">
        <f>5000</f>
        <v>5000</v>
      </c>
      <c r="D17" s="5">
        <f t="shared" si="2"/>
        <v>1800</v>
      </c>
      <c r="E17" s="6">
        <f t="shared" si="3"/>
        <v>1.36</v>
      </c>
    </row>
    <row r="18" spans="1:5" x14ac:dyDescent="0.25">
      <c r="A18" s="3" t="s">
        <v>317</v>
      </c>
      <c r="B18" s="4"/>
      <c r="C18" s="5">
        <f>11000</f>
        <v>11000</v>
      </c>
      <c r="D18" s="5">
        <f t="shared" si="2"/>
        <v>-11000</v>
      </c>
      <c r="E18" s="6">
        <f t="shared" si="3"/>
        <v>0</v>
      </c>
    </row>
    <row r="19" spans="1:5" x14ac:dyDescent="0.25">
      <c r="A19" s="3" t="s">
        <v>318</v>
      </c>
      <c r="B19" s="4"/>
      <c r="C19" s="5">
        <f>8000</f>
        <v>8000</v>
      </c>
      <c r="D19" s="5">
        <f t="shared" si="2"/>
        <v>-8000</v>
      </c>
      <c r="E19" s="6">
        <f t="shared" si="3"/>
        <v>0</v>
      </c>
    </row>
    <row r="20" spans="1:5" x14ac:dyDescent="0.25">
      <c r="A20" s="3" t="s">
        <v>319</v>
      </c>
      <c r="B20" s="7">
        <f>(((((((((((B8)+(B9))+(B10))+(B11))+(B12))+(B13))+(B14))+(B15))+(B16))+(B17))+(B18))+(B19)</f>
        <v>72975.37</v>
      </c>
      <c r="C20" s="7">
        <f>(((((((((((C8)+(C9))+(C10))+(C11))+(C12))+(C13))+(C14))+(C15))+(C16))+(C17))+(C18))+(C19)</f>
        <v>81000</v>
      </c>
      <c r="D20" s="7">
        <f t="shared" si="2"/>
        <v>-8024.6300000000047</v>
      </c>
      <c r="E20" s="8">
        <f t="shared" si="3"/>
        <v>0.90093049382716039</v>
      </c>
    </row>
    <row r="22" spans="1:5" x14ac:dyDescent="0.25">
      <c r="A22" s="3" t="s">
        <v>392</v>
      </c>
      <c r="B22" s="12">
        <f>B6-B20</f>
        <v>4335.6900000000023</v>
      </c>
      <c r="C22" s="12">
        <f>C6-C20</f>
        <v>-7000</v>
      </c>
      <c r="D22" s="12">
        <f>D6-D20</f>
        <v>11335.690000000006</v>
      </c>
      <c r="E22" s="12">
        <f t="shared" ref="E22" si="4">E13-E20</f>
        <v>0.11906950617283962</v>
      </c>
    </row>
  </sheetData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Budget vs. Actuals</vt:lpstr>
      <vt:lpstr>Trip Acct</vt:lpstr>
      <vt:lpstr>Girls Folkstyle National Duals</vt:lpstr>
      <vt:lpstr>Elem Dual State</vt:lpstr>
      <vt:lpstr>Middle School State</vt:lpstr>
      <vt:lpstr>Folkstyle State</vt:lpstr>
      <vt:lpstr>FS_Greco St</vt:lpstr>
      <vt:lpstr>14UBoysTeam</vt:lpstr>
      <vt:lpstr>14U Event</vt:lpstr>
      <vt:lpstr>16UBoysTeam</vt:lpstr>
      <vt:lpstr>Heartland</vt:lpstr>
      <vt:lpstr>JrDuals Men</vt:lpstr>
      <vt:lpstr>JrDuals Wm</vt:lpstr>
      <vt:lpstr>KidsNat'l</vt:lpstr>
      <vt:lpstr>Central Reg</vt:lpstr>
      <vt:lpstr>Fargo</vt:lpstr>
      <vt:lpstr>16U Event</vt:lpstr>
      <vt:lpstr>Showcase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User</cp:lastModifiedBy>
  <cp:revision/>
  <dcterms:created xsi:type="dcterms:W3CDTF">2021-07-10T21:24:17Z</dcterms:created>
  <dcterms:modified xsi:type="dcterms:W3CDTF">2022-08-29T18:45:48Z</dcterms:modified>
  <cp:category/>
  <cp:contentStatus/>
</cp:coreProperties>
</file>