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dixon\Desktop\MOVE TO TRASH\"/>
    </mc:Choice>
  </mc:AlternateContent>
  <bookViews>
    <workbookView xWindow="0" yWindow="0" windowWidth="20490" windowHeight="7755"/>
  </bookViews>
  <sheets>
    <sheet name="Player Credit" sheetId="4" r:id="rId1"/>
    <sheet name="Uniform Charges" sheetId="3" r:id="rId2"/>
    <sheet name="Reconcile Sheet" sheetId="1" r:id="rId3"/>
    <sheet name="Daytona Report" sheetId="5" r:id="rId4"/>
    <sheet name="Daytona CK Recon Report" sheetId="6" r:id="rId5"/>
    <sheet name="Hrs volunteered" sheetId="2" r:id="rId6"/>
  </sheets>
  <definedNames>
    <definedName name="_xlnm._FilterDatabase" localSheetId="5" hidden="1">'Hrs volunteered'!$A$1:$E$21</definedName>
    <definedName name="_xlnm.Print_Area" localSheetId="3">'Daytona Report'!$A$1:$O$806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1" l="1"/>
  <c r="C14" i="4"/>
  <c r="C45" i="1"/>
  <c r="E2" i="2"/>
  <c r="E3" i="2"/>
  <c r="E4" i="2"/>
  <c r="E5" i="2"/>
  <c r="E6" i="2"/>
  <c r="E7" i="2"/>
  <c r="E8" i="2"/>
  <c r="E9" i="2"/>
  <c r="E21" i="2" s="1"/>
  <c r="E10" i="2"/>
  <c r="E11" i="2"/>
  <c r="E12" i="2"/>
  <c r="E13" i="2"/>
  <c r="E14" i="2"/>
  <c r="E15" i="2"/>
  <c r="E16" i="2"/>
  <c r="E17" i="2"/>
  <c r="E18" i="2"/>
  <c r="E19" i="2"/>
  <c r="E20" i="2"/>
  <c r="D21" i="2"/>
  <c r="D23" i="2" s="1"/>
  <c r="B45" i="1" l="1"/>
  <c r="E4" i="1"/>
  <c r="I4" i="1"/>
  <c r="D4" i="1"/>
  <c r="D3" i="1"/>
  <c r="E18" i="1"/>
  <c r="F17" i="1"/>
  <c r="F6" i="1"/>
  <c r="F3" i="1"/>
  <c r="E22" i="1"/>
  <c r="E13" i="1"/>
  <c r="E11" i="1"/>
  <c r="E10" i="1"/>
  <c r="E9" i="1"/>
  <c r="E17" i="1"/>
  <c r="E7" i="1"/>
  <c r="I6" i="1"/>
  <c r="J140" i="5" l="1"/>
  <c r="J50" i="5"/>
  <c r="J22" i="5"/>
  <c r="G24" i="1"/>
  <c r="F24" i="1"/>
  <c r="E24" i="1"/>
  <c r="G9" i="6" l="1"/>
  <c r="G10" i="6"/>
  <c r="G11" i="6"/>
  <c r="G12" i="6"/>
  <c r="G13" i="6"/>
  <c r="G14" i="6"/>
  <c r="G15" i="6"/>
  <c r="G16" i="6"/>
  <c r="G17" i="6"/>
  <c r="G18" i="6"/>
  <c r="G19" i="6"/>
  <c r="L28" i="1" l="1"/>
  <c r="L27" i="1"/>
  <c r="I3" i="1"/>
  <c r="I23" i="1"/>
  <c r="G51" i="6" l="1"/>
  <c r="G50" i="6"/>
  <c r="B44" i="6"/>
  <c r="J42" i="6"/>
  <c r="J43" i="6" s="1"/>
  <c r="G43" i="6" s="1"/>
  <c r="B43" i="6" s="1"/>
  <c r="B42" i="6"/>
  <c r="F25" i="6"/>
  <c r="D25" i="6"/>
  <c r="F23" i="6"/>
  <c r="E23" i="6"/>
  <c r="E25" i="6" s="1"/>
  <c r="D23" i="6"/>
  <c r="C23" i="6"/>
  <c r="C25" i="6" s="1"/>
  <c r="B23" i="6"/>
  <c r="G22" i="6"/>
  <c r="G21" i="6"/>
  <c r="G20" i="6"/>
  <c r="G8" i="6"/>
  <c r="G7" i="6"/>
  <c r="H1" i="6"/>
  <c r="A797" i="5"/>
  <c r="A796" i="5"/>
  <c r="A795" i="5"/>
  <c r="A794" i="5"/>
  <c r="A793" i="5"/>
  <c r="A792" i="5"/>
  <c r="A791" i="5"/>
  <c r="A790" i="5"/>
  <c r="A789" i="5"/>
  <c r="A788" i="5"/>
  <c r="A787" i="5"/>
  <c r="A786" i="5"/>
  <c r="A785" i="5"/>
  <c r="A784" i="5"/>
  <c r="A783" i="5"/>
  <c r="A782" i="5"/>
  <c r="A781" i="5"/>
  <c r="A780" i="5"/>
  <c r="A779" i="5"/>
  <c r="A778" i="5"/>
  <c r="A777" i="5"/>
  <c r="A776" i="5"/>
  <c r="A775" i="5"/>
  <c r="A774" i="5"/>
  <c r="A773" i="5"/>
  <c r="A772" i="5"/>
  <c r="A771" i="5"/>
  <c r="A770" i="5"/>
  <c r="A769" i="5"/>
  <c r="A768" i="5"/>
  <c r="A767" i="5"/>
  <c r="A766" i="5"/>
  <c r="A765" i="5"/>
  <c r="A764" i="5"/>
  <c r="A763" i="5"/>
  <c r="A762" i="5"/>
  <c r="A761" i="5"/>
  <c r="A760" i="5"/>
  <c r="A759" i="5"/>
  <c r="A758" i="5"/>
  <c r="A757" i="5"/>
  <c r="A756" i="5"/>
  <c r="A755" i="5"/>
  <c r="A754" i="5"/>
  <c r="A753" i="5"/>
  <c r="A752" i="5"/>
  <c r="A751" i="5"/>
  <c r="A750" i="5"/>
  <c r="A749" i="5"/>
  <c r="A748" i="5"/>
  <c r="A747" i="5"/>
  <c r="A746" i="5"/>
  <c r="A745" i="5"/>
  <c r="A744" i="5"/>
  <c r="A743" i="5"/>
  <c r="A742" i="5"/>
  <c r="A741" i="5"/>
  <c r="A740" i="5"/>
  <c r="A739" i="5"/>
  <c r="A738" i="5"/>
  <c r="A737" i="5"/>
  <c r="A736" i="5"/>
  <c r="A735" i="5"/>
  <c r="A734" i="5"/>
  <c r="A733" i="5"/>
  <c r="A732" i="5"/>
  <c r="A731" i="5"/>
  <c r="A730" i="5"/>
  <c r="A729" i="5"/>
  <c r="A728" i="5"/>
  <c r="A727" i="5"/>
  <c r="A726" i="5"/>
  <c r="A725" i="5"/>
  <c r="A724" i="5"/>
  <c r="A723" i="5"/>
  <c r="A722" i="5"/>
  <c r="A721" i="5"/>
  <c r="A720" i="5"/>
  <c r="A719" i="5"/>
  <c r="A718" i="5"/>
  <c r="A717" i="5"/>
  <c r="A716" i="5"/>
  <c r="A715" i="5"/>
  <c r="A714" i="5"/>
  <c r="A713" i="5"/>
  <c r="A712" i="5"/>
  <c r="A711" i="5"/>
  <c r="A710" i="5"/>
  <c r="A709" i="5"/>
  <c r="A708" i="5"/>
  <c r="A707" i="5"/>
  <c r="A706" i="5"/>
  <c r="A705" i="5"/>
  <c r="A704" i="5"/>
  <c r="A703" i="5"/>
  <c r="A702" i="5"/>
  <c r="A701" i="5"/>
  <c r="A700" i="5"/>
  <c r="A699" i="5"/>
  <c r="A698" i="5"/>
  <c r="A697" i="5"/>
  <c r="A696" i="5"/>
  <c r="A695" i="5"/>
  <c r="A694" i="5"/>
  <c r="A693" i="5"/>
  <c r="A692" i="5"/>
  <c r="A691" i="5"/>
  <c r="A690" i="5"/>
  <c r="A689" i="5"/>
  <c r="A688" i="5"/>
  <c r="A687" i="5"/>
  <c r="A686" i="5"/>
  <c r="A685" i="5"/>
  <c r="A684" i="5"/>
  <c r="A683" i="5"/>
  <c r="A682" i="5"/>
  <c r="A681" i="5"/>
  <c r="A680" i="5"/>
  <c r="A679" i="5"/>
  <c r="A678" i="5"/>
  <c r="A677" i="5"/>
  <c r="A676" i="5"/>
  <c r="A675" i="5"/>
  <c r="A674" i="5"/>
  <c r="A673" i="5"/>
  <c r="A672" i="5"/>
  <c r="A671" i="5"/>
  <c r="A670" i="5"/>
  <c r="A669" i="5"/>
  <c r="A668" i="5"/>
  <c r="A667" i="5"/>
  <c r="A666" i="5"/>
  <c r="A665" i="5"/>
  <c r="A664" i="5"/>
  <c r="A663" i="5"/>
  <c r="A662" i="5"/>
  <c r="A661" i="5"/>
  <c r="A660" i="5"/>
  <c r="A659" i="5"/>
  <c r="A658" i="5"/>
  <c r="A657" i="5"/>
  <c r="A656" i="5"/>
  <c r="A655" i="5"/>
  <c r="A654" i="5"/>
  <c r="A653" i="5"/>
  <c r="A652" i="5"/>
  <c r="A651" i="5"/>
  <c r="A650" i="5"/>
  <c r="A649" i="5"/>
  <c r="B647" i="5"/>
  <c r="B646" i="5"/>
  <c r="B645" i="5"/>
  <c r="B641" i="5"/>
  <c r="D641" i="5" s="1"/>
  <c r="A641" i="5"/>
  <c r="B640" i="5"/>
  <c r="D640" i="5" s="1"/>
  <c r="A640" i="5"/>
  <c r="B639" i="5"/>
  <c r="D639" i="5" s="1"/>
  <c r="A639" i="5"/>
  <c r="B638" i="5"/>
  <c r="D638" i="5" s="1"/>
  <c r="A638" i="5"/>
  <c r="B637" i="5"/>
  <c r="D637" i="5" s="1"/>
  <c r="A637" i="5"/>
  <c r="D636" i="5"/>
  <c r="B636" i="5"/>
  <c r="A636" i="5"/>
  <c r="B635" i="5"/>
  <c r="D635" i="5" s="1"/>
  <c r="A635" i="5"/>
  <c r="B634" i="5"/>
  <c r="D634" i="5" s="1"/>
  <c r="A634" i="5"/>
  <c r="B633" i="5"/>
  <c r="D633" i="5" s="1"/>
  <c r="A633" i="5"/>
  <c r="B632" i="5"/>
  <c r="D632" i="5" s="1"/>
  <c r="A632" i="5"/>
  <c r="B631" i="5"/>
  <c r="D631" i="5" s="1"/>
  <c r="A631" i="5"/>
  <c r="B630" i="5"/>
  <c r="D630" i="5" s="1"/>
  <c r="A630" i="5"/>
  <c r="B629" i="5"/>
  <c r="D629" i="5" s="1"/>
  <c r="A629" i="5"/>
  <c r="D628" i="5"/>
  <c r="B628" i="5"/>
  <c r="A628" i="5"/>
  <c r="B627" i="5"/>
  <c r="D627" i="5" s="1"/>
  <c r="A627" i="5"/>
  <c r="B626" i="5"/>
  <c r="D626" i="5" s="1"/>
  <c r="A626" i="5"/>
  <c r="B625" i="5"/>
  <c r="D625" i="5" s="1"/>
  <c r="A625" i="5"/>
  <c r="B624" i="5"/>
  <c r="D624" i="5" s="1"/>
  <c r="A624" i="5"/>
  <c r="B623" i="5"/>
  <c r="D623" i="5" s="1"/>
  <c r="A623" i="5"/>
  <c r="B622" i="5"/>
  <c r="D622" i="5" s="1"/>
  <c r="A622" i="5"/>
  <c r="B621" i="5"/>
  <c r="D621" i="5" s="1"/>
  <c r="A621" i="5"/>
  <c r="B620" i="5"/>
  <c r="D620" i="5" s="1"/>
  <c r="A620" i="5"/>
  <c r="D619" i="5"/>
  <c r="B619" i="5"/>
  <c r="A619" i="5"/>
  <c r="B618" i="5"/>
  <c r="D618" i="5" s="1"/>
  <c r="A618" i="5"/>
  <c r="B617" i="5"/>
  <c r="D617" i="5" s="1"/>
  <c r="A617" i="5"/>
  <c r="B616" i="5"/>
  <c r="D616" i="5" s="1"/>
  <c r="A616" i="5"/>
  <c r="B615" i="5"/>
  <c r="D615" i="5" s="1"/>
  <c r="A615" i="5"/>
  <c r="B614" i="5"/>
  <c r="D614" i="5" s="1"/>
  <c r="A614" i="5"/>
  <c r="B613" i="5"/>
  <c r="D613" i="5" s="1"/>
  <c r="A613" i="5"/>
  <c r="B612" i="5"/>
  <c r="D612" i="5" s="1"/>
  <c r="A612" i="5"/>
  <c r="B611" i="5"/>
  <c r="D611" i="5" s="1"/>
  <c r="I468" i="5" s="1"/>
  <c r="J480" i="5" s="1"/>
  <c r="A611" i="5"/>
  <c r="B610" i="5"/>
  <c r="D610" i="5" s="1"/>
  <c r="A610" i="5"/>
  <c r="B609" i="5"/>
  <c r="D609" i="5" s="1"/>
  <c r="A609" i="5"/>
  <c r="B608" i="5"/>
  <c r="D608" i="5" s="1"/>
  <c r="A608" i="5"/>
  <c r="B607" i="5"/>
  <c r="D607" i="5" s="1"/>
  <c r="A607" i="5"/>
  <c r="B606" i="5"/>
  <c r="D606" i="5" s="1"/>
  <c r="A606" i="5"/>
  <c r="B605" i="5"/>
  <c r="D605" i="5" s="1"/>
  <c r="A605" i="5"/>
  <c r="B604" i="5"/>
  <c r="D604" i="5" s="1"/>
  <c r="A604" i="5"/>
  <c r="B603" i="5"/>
  <c r="D603" i="5" s="1"/>
  <c r="A603" i="5"/>
  <c r="B602" i="5"/>
  <c r="D602" i="5" s="1"/>
  <c r="A602" i="5"/>
  <c r="B601" i="5"/>
  <c r="D601" i="5" s="1"/>
  <c r="A601" i="5"/>
  <c r="B600" i="5"/>
  <c r="D600" i="5" s="1"/>
  <c r="A600" i="5"/>
  <c r="B599" i="5"/>
  <c r="D599" i="5" s="1"/>
  <c r="A599" i="5"/>
  <c r="B598" i="5"/>
  <c r="D598" i="5" s="1"/>
  <c r="A598" i="5"/>
  <c r="B597" i="5"/>
  <c r="D597" i="5" s="1"/>
  <c r="A597" i="5"/>
  <c r="D596" i="5"/>
  <c r="B596" i="5"/>
  <c r="A596" i="5"/>
  <c r="B595" i="5"/>
  <c r="D595" i="5" s="1"/>
  <c r="A595" i="5"/>
  <c r="B594" i="5"/>
  <c r="D594" i="5" s="1"/>
  <c r="A594" i="5"/>
  <c r="B593" i="5"/>
  <c r="D593" i="5" s="1"/>
  <c r="A593" i="5"/>
  <c r="B592" i="5"/>
  <c r="D592" i="5" s="1"/>
  <c r="A592" i="5"/>
  <c r="B591" i="5"/>
  <c r="D591" i="5" s="1"/>
  <c r="A591" i="5"/>
  <c r="B590" i="5"/>
  <c r="D590" i="5" s="1"/>
  <c r="A590" i="5"/>
  <c r="B589" i="5"/>
  <c r="D589" i="5" s="1"/>
  <c r="A589" i="5"/>
  <c r="B588" i="5"/>
  <c r="D588" i="5" s="1"/>
  <c r="A588" i="5"/>
  <c r="B587" i="5"/>
  <c r="D587" i="5" s="1"/>
  <c r="A587" i="5"/>
  <c r="B586" i="5"/>
  <c r="D586" i="5" s="1"/>
  <c r="A586" i="5"/>
  <c r="B585" i="5"/>
  <c r="D585" i="5" s="1"/>
  <c r="A585" i="5"/>
  <c r="B584" i="5"/>
  <c r="D584" i="5" s="1"/>
  <c r="A584" i="5"/>
  <c r="B583" i="5"/>
  <c r="D583" i="5" s="1"/>
  <c r="A583" i="5"/>
  <c r="B582" i="5"/>
  <c r="D582" i="5" s="1"/>
  <c r="A582" i="5"/>
  <c r="B581" i="5"/>
  <c r="D581" i="5" s="1"/>
  <c r="A581" i="5"/>
  <c r="B580" i="5"/>
  <c r="D580" i="5" s="1"/>
  <c r="A580" i="5"/>
  <c r="D579" i="5"/>
  <c r="B579" i="5"/>
  <c r="A579" i="5"/>
  <c r="B578" i="5"/>
  <c r="D578" i="5" s="1"/>
  <c r="A578" i="5"/>
  <c r="B577" i="5"/>
  <c r="D577" i="5" s="1"/>
  <c r="A577" i="5"/>
  <c r="B576" i="5"/>
  <c r="D576" i="5" s="1"/>
  <c r="A576" i="5"/>
  <c r="B575" i="5"/>
  <c r="D575" i="5" s="1"/>
  <c r="A575" i="5"/>
  <c r="B574" i="5"/>
  <c r="D574" i="5" s="1"/>
  <c r="A574" i="5"/>
  <c r="B573" i="5"/>
  <c r="D573" i="5" s="1"/>
  <c r="A573" i="5"/>
  <c r="B572" i="5"/>
  <c r="D572" i="5" s="1"/>
  <c r="A572" i="5"/>
  <c r="D571" i="5"/>
  <c r="B571" i="5"/>
  <c r="A571" i="5"/>
  <c r="B570" i="5"/>
  <c r="D570" i="5" s="1"/>
  <c r="A570" i="5"/>
  <c r="B569" i="5"/>
  <c r="D569" i="5" s="1"/>
  <c r="A569" i="5"/>
  <c r="B568" i="5"/>
  <c r="D568" i="5" s="1"/>
  <c r="A568" i="5"/>
  <c r="B567" i="5"/>
  <c r="D567" i="5" s="1"/>
  <c r="A567" i="5"/>
  <c r="B566" i="5"/>
  <c r="D566" i="5" s="1"/>
  <c r="A566" i="5"/>
  <c r="B565" i="5"/>
  <c r="D565" i="5" s="1"/>
  <c r="A565" i="5"/>
  <c r="B564" i="5"/>
  <c r="D564" i="5" s="1"/>
  <c r="A564" i="5"/>
  <c r="B563" i="5"/>
  <c r="D563" i="5" s="1"/>
  <c r="A563" i="5"/>
  <c r="B562" i="5"/>
  <c r="D562" i="5" s="1"/>
  <c r="A562" i="5"/>
  <c r="B561" i="5"/>
  <c r="D561" i="5" s="1"/>
  <c r="A561" i="5"/>
  <c r="B560" i="5"/>
  <c r="D560" i="5" s="1"/>
  <c r="A560" i="5"/>
  <c r="B559" i="5"/>
  <c r="D559" i="5" s="1"/>
  <c r="A559" i="5"/>
  <c r="B558" i="5"/>
  <c r="D558" i="5" s="1"/>
  <c r="A558" i="5"/>
  <c r="B557" i="5"/>
  <c r="D557" i="5" s="1"/>
  <c r="A557" i="5"/>
  <c r="D556" i="5"/>
  <c r="B556" i="5"/>
  <c r="A556" i="5"/>
  <c r="B555" i="5"/>
  <c r="D555" i="5" s="1"/>
  <c r="A555" i="5"/>
  <c r="B554" i="5"/>
  <c r="D554" i="5" s="1"/>
  <c r="A554" i="5"/>
  <c r="B553" i="5"/>
  <c r="D553" i="5" s="1"/>
  <c r="A553" i="5"/>
  <c r="B552" i="5"/>
  <c r="D552" i="5" s="1"/>
  <c r="A552" i="5"/>
  <c r="B551" i="5"/>
  <c r="D551" i="5" s="1"/>
  <c r="A551" i="5"/>
  <c r="B550" i="5"/>
  <c r="D550" i="5" s="1"/>
  <c r="A550" i="5"/>
  <c r="B549" i="5"/>
  <c r="D549" i="5" s="1"/>
  <c r="A549" i="5"/>
  <c r="B548" i="5"/>
  <c r="D548" i="5" s="1"/>
  <c r="A548" i="5"/>
  <c r="D547" i="5"/>
  <c r="B547" i="5"/>
  <c r="A547" i="5"/>
  <c r="B546" i="5"/>
  <c r="D546" i="5" s="1"/>
  <c r="A546" i="5"/>
  <c r="B545" i="5"/>
  <c r="D545" i="5" s="1"/>
  <c r="A545" i="5"/>
  <c r="B544" i="5"/>
  <c r="D544" i="5" s="1"/>
  <c r="A544" i="5"/>
  <c r="B543" i="5"/>
  <c r="D543" i="5" s="1"/>
  <c r="A543" i="5"/>
  <c r="B542" i="5"/>
  <c r="D542" i="5" s="1"/>
  <c r="A542" i="5"/>
  <c r="B541" i="5"/>
  <c r="D541" i="5" s="1"/>
  <c r="A541" i="5"/>
  <c r="B540" i="5"/>
  <c r="D540" i="5" s="1"/>
  <c r="A540" i="5"/>
  <c r="B539" i="5"/>
  <c r="D539" i="5" s="1"/>
  <c r="A539" i="5"/>
  <c r="B538" i="5"/>
  <c r="D538" i="5" s="1"/>
  <c r="A538" i="5"/>
  <c r="B537" i="5"/>
  <c r="D537" i="5" s="1"/>
  <c r="A537" i="5"/>
  <c r="B536" i="5"/>
  <c r="D536" i="5" s="1"/>
  <c r="A536" i="5"/>
  <c r="B535" i="5"/>
  <c r="D535" i="5" s="1"/>
  <c r="A535" i="5"/>
  <c r="B534" i="5"/>
  <c r="D534" i="5" s="1"/>
  <c r="A534" i="5"/>
  <c r="B533" i="5"/>
  <c r="D533" i="5" s="1"/>
  <c r="A533" i="5"/>
  <c r="B532" i="5"/>
  <c r="D532" i="5" s="1"/>
  <c r="A532" i="5"/>
  <c r="B531" i="5"/>
  <c r="D531" i="5" s="1"/>
  <c r="A531" i="5"/>
  <c r="B530" i="5"/>
  <c r="D530" i="5" s="1"/>
  <c r="A530" i="5"/>
  <c r="B529" i="5"/>
  <c r="D529" i="5" s="1"/>
  <c r="A529" i="5"/>
  <c r="B528" i="5"/>
  <c r="D528" i="5" s="1"/>
  <c r="A528" i="5"/>
  <c r="B527" i="5"/>
  <c r="D527" i="5" s="1"/>
  <c r="A527" i="5"/>
  <c r="B526" i="5"/>
  <c r="D526" i="5" s="1"/>
  <c r="A526" i="5"/>
  <c r="B525" i="5"/>
  <c r="D525" i="5" s="1"/>
  <c r="A525" i="5"/>
  <c r="B524" i="5"/>
  <c r="D524" i="5" s="1"/>
  <c r="A524" i="5"/>
  <c r="B523" i="5"/>
  <c r="D523" i="5" s="1"/>
  <c r="A523" i="5"/>
  <c r="B522" i="5"/>
  <c r="D522" i="5" s="1"/>
  <c r="A522" i="5"/>
  <c r="B521" i="5"/>
  <c r="D521" i="5" s="1"/>
  <c r="A521" i="5"/>
  <c r="B520" i="5"/>
  <c r="D520" i="5" s="1"/>
  <c r="A520" i="5"/>
  <c r="D519" i="5"/>
  <c r="B519" i="5"/>
  <c r="A519" i="5"/>
  <c r="B518" i="5"/>
  <c r="D518" i="5" s="1"/>
  <c r="A518" i="5"/>
  <c r="B517" i="5"/>
  <c r="D517" i="5" s="1"/>
  <c r="A517" i="5"/>
  <c r="B516" i="5"/>
  <c r="D516" i="5" s="1"/>
  <c r="A516" i="5"/>
  <c r="B515" i="5"/>
  <c r="D515" i="5" s="1"/>
  <c r="A515" i="5"/>
  <c r="B514" i="5"/>
  <c r="D514" i="5" s="1"/>
  <c r="A514" i="5"/>
  <c r="B513" i="5"/>
  <c r="D513" i="5" s="1"/>
  <c r="A513" i="5"/>
  <c r="B512" i="5"/>
  <c r="D512" i="5" s="1"/>
  <c r="A512" i="5"/>
  <c r="B511" i="5"/>
  <c r="D511" i="5" s="1"/>
  <c r="A511" i="5"/>
  <c r="B510" i="5"/>
  <c r="D510" i="5" s="1"/>
  <c r="A510" i="5"/>
  <c r="B509" i="5"/>
  <c r="D509" i="5" s="1"/>
  <c r="A509" i="5"/>
  <c r="B508" i="5"/>
  <c r="D508" i="5" s="1"/>
  <c r="A508" i="5"/>
  <c r="B507" i="5"/>
  <c r="D507" i="5" s="1"/>
  <c r="A507" i="5"/>
  <c r="B506" i="5"/>
  <c r="D506" i="5" s="1"/>
  <c r="A506" i="5"/>
  <c r="B505" i="5"/>
  <c r="D505" i="5" s="1"/>
  <c r="A505" i="5"/>
  <c r="B504" i="5"/>
  <c r="D504" i="5" s="1"/>
  <c r="A504" i="5"/>
  <c r="B503" i="5"/>
  <c r="D503" i="5" s="1"/>
  <c r="A503" i="5"/>
  <c r="B502" i="5"/>
  <c r="D502" i="5" s="1"/>
  <c r="A502" i="5"/>
  <c r="B501" i="5"/>
  <c r="D501" i="5" s="1"/>
  <c r="A501" i="5"/>
  <c r="B500" i="5"/>
  <c r="D500" i="5" s="1"/>
  <c r="A500" i="5"/>
  <c r="B499" i="5"/>
  <c r="D499" i="5" s="1"/>
  <c r="A499" i="5"/>
  <c r="B498" i="5"/>
  <c r="D498" i="5" s="1"/>
  <c r="A498" i="5"/>
  <c r="B497" i="5"/>
  <c r="D497" i="5" s="1"/>
  <c r="A497" i="5"/>
  <c r="B496" i="5"/>
  <c r="D496" i="5" s="1"/>
  <c r="A496" i="5"/>
  <c r="B495" i="5"/>
  <c r="D495" i="5" s="1"/>
  <c r="A495" i="5"/>
  <c r="B494" i="5"/>
  <c r="D494" i="5" s="1"/>
  <c r="A494" i="5"/>
  <c r="B493" i="5"/>
  <c r="D493" i="5" s="1"/>
  <c r="A493" i="5"/>
  <c r="J478" i="5"/>
  <c r="N446" i="5"/>
  <c r="O445" i="5"/>
  <c r="B445" i="5"/>
  <c r="O444" i="5" s="1"/>
  <c r="B444" i="5"/>
  <c r="B443" i="5"/>
  <c r="O443" i="5" s="1"/>
  <c r="B442" i="5"/>
  <c r="Q431" i="5"/>
  <c r="C431" i="5"/>
  <c r="B431" i="5"/>
  <c r="A431" i="5"/>
  <c r="Q430" i="5"/>
  <c r="C430" i="5"/>
  <c r="B430" i="5"/>
  <c r="A430" i="5"/>
  <c r="Q429" i="5"/>
  <c r="C429" i="5"/>
  <c r="B429" i="5"/>
  <c r="A429" i="5"/>
  <c r="Q428" i="5"/>
  <c r="C428" i="5"/>
  <c r="B428" i="5"/>
  <c r="A428" i="5"/>
  <c r="Q427" i="5"/>
  <c r="C427" i="5"/>
  <c r="B427" i="5"/>
  <c r="A427" i="5"/>
  <c r="Q426" i="5"/>
  <c r="C426" i="5"/>
  <c r="B426" i="5"/>
  <c r="A426" i="5"/>
  <c r="Q425" i="5"/>
  <c r="C425" i="5"/>
  <c r="B425" i="5"/>
  <c r="A425" i="5"/>
  <c r="Q424" i="5"/>
  <c r="C424" i="5"/>
  <c r="B424" i="5"/>
  <c r="A424" i="5"/>
  <c r="Q423" i="5"/>
  <c r="C423" i="5"/>
  <c r="B423" i="5"/>
  <c r="A423" i="5"/>
  <c r="Q422" i="5"/>
  <c r="C422" i="5"/>
  <c r="B422" i="5"/>
  <c r="A422" i="5"/>
  <c r="Q421" i="5"/>
  <c r="B421" i="5"/>
  <c r="A421" i="5"/>
  <c r="Q420" i="5"/>
  <c r="B420" i="5"/>
  <c r="A420" i="5"/>
  <c r="Q419" i="5"/>
  <c r="B419" i="5"/>
  <c r="A419" i="5"/>
  <c r="Q418" i="5"/>
  <c r="B418" i="5"/>
  <c r="A418" i="5"/>
  <c r="Q417" i="5"/>
  <c r="B417" i="5"/>
  <c r="A417" i="5"/>
  <c r="Q416" i="5"/>
  <c r="B416" i="5"/>
  <c r="A416" i="5"/>
  <c r="Q415" i="5"/>
  <c r="B415" i="5"/>
  <c r="A415" i="5"/>
  <c r="Q414" i="5"/>
  <c r="B414" i="5"/>
  <c r="A414" i="5"/>
  <c r="Q413" i="5"/>
  <c r="B413" i="5"/>
  <c r="A413" i="5"/>
  <c r="Q412" i="5"/>
  <c r="B412" i="5"/>
  <c r="A412" i="5"/>
  <c r="Q411" i="5"/>
  <c r="C411" i="5"/>
  <c r="B411" i="5"/>
  <c r="A411" i="5"/>
  <c r="Q410" i="5"/>
  <c r="C410" i="5"/>
  <c r="B410" i="5"/>
  <c r="A410" i="5"/>
  <c r="Q409" i="5"/>
  <c r="C409" i="5"/>
  <c r="B409" i="5"/>
  <c r="A409" i="5"/>
  <c r="Q408" i="5"/>
  <c r="C408" i="5"/>
  <c r="B408" i="5"/>
  <c r="A408" i="5"/>
  <c r="Q407" i="5"/>
  <c r="C407" i="5"/>
  <c r="B407" i="5"/>
  <c r="A407" i="5"/>
  <c r="Q406" i="5"/>
  <c r="C406" i="5"/>
  <c r="B406" i="5"/>
  <c r="A406" i="5"/>
  <c r="Q405" i="5"/>
  <c r="C405" i="5"/>
  <c r="B405" i="5"/>
  <c r="A405" i="5"/>
  <c r="Q404" i="5"/>
  <c r="C404" i="5"/>
  <c r="B404" i="5"/>
  <c r="A404" i="5"/>
  <c r="Q403" i="5"/>
  <c r="C403" i="5"/>
  <c r="B403" i="5"/>
  <c r="A403" i="5"/>
  <c r="Q402" i="5"/>
  <c r="C402" i="5"/>
  <c r="B402" i="5"/>
  <c r="A402" i="5"/>
  <c r="Q401" i="5"/>
  <c r="C401" i="5"/>
  <c r="B401" i="5"/>
  <c r="A401" i="5"/>
  <c r="Q400" i="5"/>
  <c r="C400" i="5"/>
  <c r="B400" i="5"/>
  <c r="A400" i="5"/>
  <c r="Q399" i="5"/>
  <c r="C399" i="5"/>
  <c r="B399" i="5"/>
  <c r="A399" i="5"/>
  <c r="Q398" i="5"/>
  <c r="C398" i="5"/>
  <c r="B398" i="5"/>
  <c r="A398" i="5"/>
  <c r="Q397" i="5"/>
  <c r="C397" i="5"/>
  <c r="B397" i="5"/>
  <c r="A397" i="5"/>
  <c r="Q396" i="5"/>
  <c r="C396" i="5"/>
  <c r="B396" i="5"/>
  <c r="A396" i="5"/>
  <c r="Q395" i="5"/>
  <c r="C395" i="5"/>
  <c r="B395" i="5"/>
  <c r="A395" i="5"/>
  <c r="Q394" i="5"/>
  <c r="C394" i="5"/>
  <c r="B394" i="5"/>
  <c r="A394" i="5"/>
  <c r="Q393" i="5"/>
  <c r="C393" i="5"/>
  <c r="B393" i="5"/>
  <c r="A393" i="5"/>
  <c r="Q392" i="5"/>
  <c r="C392" i="5"/>
  <c r="B392" i="5"/>
  <c r="A392" i="5"/>
  <c r="Q391" i="5"/>
  <c r="C391" i="5"/>
  <c r="B391" i="5"/>
  <c r="A391" i="5"/>
  <c r="Q390" i="5"/>
  <c r="C390" i="5"/>
  <c r="B390" i="5"/>
  <c r="A390" i="5"/>
  <c r="Q389" i="5"/>
  <c r="C389" i="5"/>
  <c r="B389" i="5"/>
  <c r="A389" i="5"/>
  <c r="Q388" i="5"/>
  <c r="C388" i="5"/>
  <c r="B388" i="5"/>
  <c r="A388" i="5"/>
  <c r="Q387" i="5"/>
  <c r="C387" i="5"/>
  <c r="B387" i="5"/>
  <c r="A387" i="5"/>
  <c r="Q386" i="5"/>
  <c r="C386" i="5"/>
  <c r="B386" i="5"/>
  <c r="A386" i="5"/>
  <c r="Q385" i="5"/>
  <c r="C385" i="5"/>
  <c r="B385" i="5"/>
  <c r="A385" i="5"/>
  <c r="Q384" i="5"/>
  <c r="C384" i="5"/>
  <c r="B384" i="5"/>
  <c r="A384" i="5"/>
  <c r="Q383" i="5"/>
  <c r="C383" i="5"/>
  <c r="B383" i="5"/>
  <c r="A383" i="5"/>
  <c r="Q382" i="5"/>
  <c r="C382" i="5"/>
  <c r="B382" i="5"/>
  <c r="A382" i="5"/>
  <c r="Q381" i="5"/>
  <c r="C381" i="5"/>
  <c r="B381" i="5"/>
  <c r="A381" i="5"/>
  <c r="Q380" i="5"/>
  <c r="C380" i="5"/>
  <c r="B380" i="5"/>
  <c r="A380" i="5"/>
  <c r="Q379" i="5"/>
  <c r="C379" i="5"/>
  <c r="B379" i="5"/>
  <c r="A379" i="5"/>
  <c r="Q378" i="5"/>
  <c r="C378" i="5"/>
  <c r="B378" i="5"/>
  <c r="A378" i="5"/>
  <c r="Q377" i="5"/>
  <c r="C377" i="5"/>
  <c r="B377" i="5"/>
  <c r="A377" i="5"/>
  <c r="Q376" i="5"/>
  <c r="C376" i="5"/>
  <c r="B376" i="5"/>
  <c r="A376" i="5"/>
  <c r="Q375" i="5"/>
  <c r="C375" i="5"/>
  <c r="B375" i="5"/>
  <c r="A375" i="5"/>
  <c r="Q374" i="5"/>
  <c r="C374" i="5"/>
  <c r="B374" i="5"/>
  <c r="A374" i="5"/>
  <c r="Q373" i="5"/>
  <c r="C373" i="5"/>
  <c r="B373" i="5"/>
  <c r="A373" i="5"/>
  <c r="Q372" i="5"/>
  <c r="C372" i="5"/>
  <c r="B372" i="5"/>
  <c r="A372" i="5"/>
  <c r="Q371" i="5"/>
  <c r="C371" i="5"/>
  <c r="B371" i="5"/>
  <c r="A371" i="5"/>
  <c r="Q370" i="5"/>
  <c r="C370" i="5"/>
  <c r="B370" i="5"/>
  <c r="A370" i="5"/>
  <c r="Q369" i="5"/>
  <c r="C369" i="5"/>
  <c r="B369" i="5"/>
  <c r="A369" i="5"/>
  <c r="Q368" i="5"/>
  <c r="C368" i="5"/>
  <c r="B368" i="5"/>
  <c r="A368" i="5"/>
  <c r="Q367" i="5"/>
  <c r="C367" i="5"/>
  <c r="B367" i="5"/>
  <c r="A367" i="5"/>
  <c r="Q366" i="5"/>
  <c r="C366" i="5"/>
  <c r="B366" i="5"/>
  <c r="A366" i="5"/>
  <c r="Q365" i="5"/>
  <c r="C365" i="5"/>
  <c r="B365" i="5"/>
  <c r="A365" i="5"/>
  <c r="Q364" i="5"/>
  <c r="C364" i="5"/>
  <c r="B364" i="5"/>
  <c r="A364" i="5"/>
  <c r="Q363" i="5"/>
  <c r="C363" i="5"/>
  <c r="B363" i="5"/>
  <c r="A363" i="5"/>
  <c r="Q362" i="5"/>
  <c r="C362" i="5"/>
  <c r="B362" i="5"/>
  <c r="A362" i="5"/>
  <c r="Q361" i="5"/>
  <c r="C361" i="5"/>
  <c r="B361" i="5"/>
  <c r="A361" i="5"/>
  <c r="Q360" i="5"/>
  <c r="C360" i="5"/>
  <c r="B360" i="5"/>
  <c r="A360" i="5"/>
  <c r="Q359" i="5"/>
  <c r="C359" i="5"/>
  <c r="B359" i="5"/>
  <c r="A359" i="5"/>
  <c r="Q358" i="5"/>
  <c r="C358" i="5"/>
  <c r="B358" i="5"/>
  <c r="A358" i="5"/>
  <c r="Q357" i="5"/>
  <c r="C357" i="5"/>
  <c r="B357" i="5"/>
  <c r="A357" i="5"/>
  <c r="Q356" i="5"/>
  <c r="C356" i="5"/>
  <c r="B356" i="5"/>
  <c r="A356" i="5"/>
  <c r="Q355" i="5"/>
  <c r="C355" i="5"/>
  <c r="B355" i="5"/>
  <c r="A355" i="5"/>
  <c r="Q354" i="5"/>
  <c r="C354" i="5"/>
  <c r="B354" i="5"/>
  <c r="A354" i="5"/>
  <c r="Q353" i="5"/>
  <c r="C353" i="5"/>
  <c r="B353" i="5"/>
  <c r="A353" i="5"/>
  <c r="Q352" i="5"/>
  <c r="C352" i="5"/>
  <c r="B352" i="5"/>
  <c r="A352" i="5"/>
  <c r="Q351" i="5"/>
  <c r="C351" i="5"/>
  <c r="B351" i="5"/>
  <c r="A351" i="5"/>
  <c r="Q350" i="5"/>
  <c r="C350" i="5"/>
  <c r="B350" i="5"/>
  <c r="A350" i="5"/>
  <c r="Q349" i="5"/>
  <c r="C349" i="5"/>
  <c r="B349" i="5"/>
  <c r="A349" i="5"/>
  <c r="Q348" i="5"/>
  <c r="C348" i="5"/>
  <c r="B348" i="5"/>
  <c r="A348" i="5"/>
  <c r="Q347" i="5"/>
  <c r="C347" i="5"/>
  <c r="B347" i="5"/>
  <c r="A347" i="5"/>
  <c r="Q346" i="5"/>
  <c r="C346" i="5"/>
  <c r="B346" i="5"/>
  <c r="A346" i="5"/>
  <c r="Q345" i="5"/>
  <c r="C345" i="5"/>
  <c r="B345" i="5"/>
  <c r="A345" i="5"/>
  <c r="Q344" i="5"/>
  <c r="C344" i="5"/>
  <c r="B344" i="5"/>
  <c r="A344" i="5"/>
  <c r="Q343" i="5"/>
  <c r="C343" i="5"/>
  <c r="B343" i="5"/>
  <c r="A343" i="5"/>
  <c r="Q342" i="5"/>
  <c r="C342" i="5"/>
  <c r="B342" i="5"/>
  <c r="A342" i="5"/>
  <c r="Q341" i="5"/>
  <c r="C341" i="5"/>
  <c r="B341" i="5"/>
  <c r="A341" i="5"/>
  <c r="Q340" i="5"/>
  <c r="C340" i="5"/>
  <c r="B340" i="5"/>
  <c r="A340" i="5"/>
  <c r="Q339" i="5"/>
  <c r="C339" i="5"/>
  <c r="B339" i="5"/>
  <c r="A339" i="5"/>
  <c r="Q338" i="5"/>
  <c r="C338" i="5"/>
  <c r="B338" i="5"/>
  <c r="A338" i="5"/>
  <c r="Q337" i="5"/>
  <c r="C337" i="5"/>
  <c r="B337" i="5"/>
  <c r="A337" i="5"/>
  <c r="Q336" i="5"/>
  <c r="C336" i="5"/>
  <c r="B336" i="5"/>
  <c r="A336" i="5"/>
  <c r="Q335" i="5"/>
  <c r="C335" i="5"/>
  <c r="B335" i="5"/>
  <c r="A335" i="5"/>
  <c r="Q334" i="5"/>
  <c r="C334" i="5"/>
  <c r="B334" i="5"/>
  <c r="A334" i="5"/>
  <c r="Q333" i="5"/>
  <c r="C333" i="5"/>
  <c r="B333" i="5"/>
  <c r="A333" i="5"/>
  <c r="Q332" i="5"/>
  <c r="C332" i="5"/>
  <c r="B332" i="5"/>
  <c r="A332" i="5"/>
  <c r="Q331" i="5"/>
  <c r="C331" i="5"/>
  <c r="B331" i="5"/>
  <c r="A331" i="5"/>
  <c r="Q330" i="5"/>
  <c r="C330" i="5"/>
  <c r="B330" i="5"/>
  <c r="A330" i="5"/>
  <c r="Q329" i="5"/>
  <c r="C329" i="5"/>
  <c r="B329" i="5"/>
  <c r="A329" i="5"/>
  <c r="Q328" i="5"/>
  <c r="C328" i="5"/>
  <c r="B328" i="5"/>
  <c r="A328" i="5"/>
  <c r="Q327" i="5"/>
  <c r="C327" i="5"/>
  <c r="B327" i="5"/>
  <c r="A327" i="5"/>
  <c r="Q326" i="5"/>
  <c r="C326" i="5"/>
  <c r="B326" i="5"/>
  <c r="A326" i="5"/>
  <c r="Q325" i="5"/>
  <c r="C325" i="5"/>
  <c r="B325" i="5"/>
  <c r="A325" i="5"/>
  <c r="Q324" i="5"/>
  <c r="B324" i="5"/>
  <c r="A324" i="5"/>
  <c r="Q323" i="5"/>
  <c r="B323" i="5"/>
  <c r="A323" i="5"/>
  <c r="Q322" i="5"/>
  <c r="B322" i="5"/>
  <c r="A322" i="5"/>
  <c r="Q321" i="5"/>
  <c r="B321" i="5"/>
  <c r="A321" i="5"/>
  <c r="Q320" i="5"/>
  <c r="B320" i="5"/>
  <c r="A320" i="5"/>
  <c r="Q319" i="5"/>
  <c r="B319" i="5"/>
  <c r="A319" i="5"/>
  <c r="Q318" i="5"/>
  <c r="B318" i="5"/>
  <c r="A318" i="5"/>
  <c r="Q317" i="5"/>
  <c r="B317" i="5"/>
  <c r="A317" i="5"/>
  <c r="Q316" i="5"/>
  <c r="B316" i="5"/>
  <c r="A316" i="5"/>
  <c r="Q315" i="5"/>
  <c r="B315" i="5"/>
  <c r="A315" i="5"/>
  <c r="Q314" i="5"/>
  <c r="B314" i="5"/>
  <c r="A314" i="5"/>
  <c r="Q313" i="5"/>
  <c r="B313" i="5"/>
  <c r="A313" i="5"/>
  <c r="Q312" i="5"/>
  <c r="B312" i="5"/>
  <c r="A312" i="5"/>
  <c r="Q311" i="5"/>
  <c r="B311" i="5"/>
  <c r="A311" i="5"/>
  <c r="Q310" i="5"/>
  <c r="B310" i="5"/>
  <c r="A310" i="5"/>
  <c r="Q309" i="5"/>
  <c r="B309" i="5"/>
  <c r="A309" i="5"/>
  <c r="Q308" i="5"/>
  <c r="B308" i="5"/>
  <c r="A308" i="5"/>
  <c r="Q307" i="5"/>
  <c r="B307" i="5"/>
  <c r="A307" i="5"/>
  <c r="Q306" i="5"/>
  <c r="B306" i="5"/>
  <c r="A306" i="5"/>
  <c r="Q305" i="5"/>
  <c r="B305" i="5"/>
  <c r="A305" i="5"/>
  <c r="Q304" i="5"/>
  <c r="B304" i="5"/>
  <c r="A304" i="5"/>
  <c r="Q303" i="5"/>
  <c r="B303" i="5"/>
  <c r="A303" i="5"/>
  <c r="Q302" i="5"/>
  <c r="B302" i="5"/>
  <c r="A302" i="5"/>
  <c r="Q301" i="5"/>
  <c r="B301" i="5"/>
  <c r="A301" i="5"/>
  <c r="Q300" i="5"/>
  <c r="B300" i="5"/>
  <c r="A300" i="5"/>
  <c r="Q299" i="5"/>
  <c r="B299" i="5"/>
  <c r="A299" i="5"/>
  <c r="Q298" i="5"/>
  <c r="B298" i="5"/>
  <c r="A298" i="5"/>
  <c r="Q297" i="5"/>
  <c r="B297" i="5"/>
  <c r="A297" i="5"/>
  <c r="Q296" i="5"/>
  <c r="B296" i="5"/>
  <c r="A296" i="5"/>
  <c r="Q295" i="5"/>
  <c r="B295" i="5"/>
  <c r="A295" i="5"/>
  <c r="Q294" i="5"/>
  <c r="C294" i="5"/>
  <c r="B294" i="5"/>
  <c r="A294" i="5"/>
  <c r="Q293" i="5"/>
  <c r="C293" i="5"/>
  <c r="B293" i="5"/>
  <c r="A293" i="5"/>
  <c r="Q292" i="5"/>
  <c r="C292" i="5"/>
  <c r="B292" i="5"/>
  <c r="A292" i="5"/>
  <c r="Q291" i="5"/>
  <c r="C291" i="5"/>
  <c r="B291" i="5"/>
  <c r="A291" i="5"/>
  <c r="Q290" i="5"/>
  <c r="C290" i="5"/>
  <c r="B290" i="5"/>
  <c r="A290" i="5"/>
  <c r="Q289" i="5"/>
  <c r="C289" i="5"/>
  <c r="B289" i="5"/>
  <c r="A289" i="5"/>
  <c r="Q288" i="5"/>
  <c r="C288" i="5"/>
  <c r="B288" i="5"/>
  <c r="A288" i="5"/>
  <c r="Q287" i="5"/>
  <c r="C287" i="5"/>
  <c r="B287" i="5"/>
  <c r="A287" i="5"/>
  <c r="Q286" i="5"/>
  <c r="C286" i="5"/>
  <c r="B286" i="5"/>
  <c r="A286" i="5"/>
  <c r="Q285" i="5"/>
  <c r="C285" i="5"/>
  <c r="B285" i="5"/>
  <c r="A285" i="5"/>
  <c r="Q284" i="5"/>
  <c r="C284" i="5"/>
  <c r="B284" i="5"/>
  <c r="A284" i="5"/>
  <c r="Q283" i="5"/>
  <c r="C283" i="5"/>
  <c r="B283" i="5"/>
  <c r="A283" i="5"/>
  <c r="B278" i="5"/>
  <c r="B277" i="5"/>
  <c r="J276" i="5"/>
  <c r="B276" i="5"/>
  <c r="J275" i="5"/>
  <c r="B275" i="5"/>
  <c r="Q268" i="5"/>
  <c r="L261" i="5"/>
  <c r="K261" i="5"/>
  <c r="I261" i="5"/>
  <c r="H261" i="5"/>
  <c r="G261" i="5"/>
  <c r="F261" i="5"/>
  <c r="E261" i="5"/>
  <c r="D261" i="5"/>
  <c r="C261" i="5"/>
  <c r="M260" i="5"/>
  <c r="O260" i="5" s="1"/>
  <c r="O259" i="5"/>
  <c r="M259" i="5"/>
  <c r="M258" i="5"/>
  <c r="O258" i="5" s="1"/>
  <c r="M257" i="5"/>
  <c r="O257" i="5" s="1"/>
  <c r="M256" i="5"/>
  <c r="O256" i="5" s="1"/>
  <c r="M255" i="5"/>
  <c r="O255" i="5" s="1"/>
  <c r="M254" i="5"/>
  <c r="O254" i="5" s="1"/>
  <c r="M253" i="5"/>
  <c r="O253" i="5" s="1"/>
  <c r="M252" i="5"/>
  <c r="O252" i="5" s="1"/>
  <c r="O251" i="5"/>
  <c r="M251" i="5"/>
  <c r="M250" i="5"/>
  <c r="O250" i="5" s="1"/>
  <c r="M249" i="5"/>
  <c r="O249" i="5" s="1"/>
  <c r="M248" i="5"/>
  <c r="O248" i="5" s="1"/>
  <c r="M247" i="5"/>
  <c r="O247" i="5" s="1"/>
  <c r="M246" i="5"/>
  <c r="O246" i="5" s="1"/>
  <c r="M245" i="5"/>
  <c r="O245" i="5" s="1"/>
  <c r="M244" i="5"/>
  <c r="O244" i="5" s="1"/>
  <c r="O243" i="5"/>
  <c r="M243" i="5"/>
  <c r="M242" i="5"/>
  <c r="O242" i="5" s="1"/>
  <c r="M241" i="5"/>
  <c r="O241" i="5" s="1"/>
  <c r="M240" i="5"/>
  <c r="O240" i="5" s="1"/>
  <c r="M239" i="5"/>
  <c r="O239" i="5" s="1"/>
  <c r="M238" i="5"/>
  <c r="O238" i="5" s="1"/>
  <c r="M237" i="5"/>
  <c r="O237" i="5" s="1"/>
  <c r="M236" i="5"/>
  <c r="O236" i="5" s="1"/>
  <c r="O235" i="5"/>
  <c r="M235" i="5"/>
  <c r="M234" i="5"/>
  <c r="O234" i="5" s="1"/>
  <c r="M233" i="5"/>
  <c r="O233" i="5" s="1"/>
  <c r="M232" i="5"/>
  <c r="O232" i="5" s="1"/>
  <c r="M231" i="5"/>
  <c r="O231" i="5" s="1"/>
  <c r="M230" i="5"/>
  <c r="O230" i="5" s="1"/>
  <c r="M229" i="5"/>
  <c r="O229" i="5" s="1"/>
  <c r="M228" i="5"/>
  <c r="O228" i="5" s="1"/>
  <c r="O227" i="5"/>
  <c r="M227" i="5"/>
  <c r="M226" i="5"/>
  <c r="O226" i="5" s="1"/>
  <c r="M225" i="5"/>
  <c r="O225" i="5" s="1"/>
  <c r="M224" i="5"/>
  <c r="O224" i="5" s="1"/>
  <c r="M223" i="5"/>
  <c r="O223" i="5" s="1"/>
  <c r="M222" i="5"/>
  <c r="O222" i="5" s="1"/>
  <c r="M221" i="5"/>
  <c r="O221" i="5" s="1"/>
  <c r="M220" i="5"/>
  <c r="O220" i="5" s="1"/>
  <c r="O219" i="5"/>
  <c r="M219" i="5"/>
  <c r="M218" i="5"/>
  <c r="O218" i="5" s="1"/>
  <c r="M217" i="5"/>
  <c r="O217" i="5" s="1"/>
  <c r="M216" i="5"/>
  <c r="O216" i="5" s="1"/>
  <c r="M215" i="5"/>
  <c r="O215" i="5" s="1"/>
  <c r="O214" i="5"/>
  <c r="M214" i="5"/>
  <c r="M213" i="5"/>
  <c r="O213" i="5" s="1"/>
  <c r="M212" i="5"/>
  <c r="O212" i="5" s="1"/>
  <c r="M211" i="5"/>
  <c r="O211" i="5" s="1"/>
  <c r="M210" i="5"/>
  <c r="O210" i="5" s="1"/>
  <c r="M209" i="5"/>
  <c r="O209" i="5" s="1"/>
  <c r="M208" i="5"/>
  <c r="O208" i="5" s="1"/>
  <c r="M207" i="5"/>
  <c r="O207" i="5" s="1"/>
  <c r="M206" i="5"/>
  <c r="O206" i="5" s="1"/>
  <c r="M205" i="5"/>
  <c r="O205" i="5" s="1"/>
  <c r="M204" i="5"/>
  <c r="O204" i="5" s="1"/>
  <c r="M203" i="5"/>
  <c r="O203" i="5" s="1"/>
  <c r="M202" i="5"/>
  <c r="O202" i="5" s="1"/>
  <c r="M201" i="5"/>
  <c r="O201" i="5" s="1"/>
  <c r="M200" i="5"/>
  <c r="O200" i="5" s="1"/>
  <c r="M199" i="5"/>
  <c r="O199" i="5" s="1"/>
  <c r="M198" i="5"/>
  <c r="O198" i="5" s="1"/>
  <c r="M197" i="5"/>
  <c r="O197" i="5" s="1"/>
  <c r="M196" i="5"/>
  <c r="O196" i="5" s="1"/>
  <c r="M195" i="5"/>
  <c r="O195" i="5" s="1"/>
  <c r="M194" i="5"/>
  <c r="O194" i="5" s="1"/>
  <c r="M193" i="5"/>
  <c r="O193" i="5" s="1"/>
  <c r="M192" i="5"/>
  <c r="O192" i="5" s="1"/>
  <c r="M191" i="5"/>
  <c r="O191" i="5" s="1"/>
  <c r="M190" i="5"/>
  <c r="O190" i="5" s="1"/>
  <c r="M189" i="5"/>
  <c r="O189" i="5" s="1"/>
  <c r="M188" i="5"/>
  <c r="O188" i="5" s="1"/>
  <c r="M187" i="5"/>
  <c r="O187" i="5" s="1"/>
  <c r="M186" i="5"/>
  <c r="O186" i="5" s="1"/>
  <c r="M185" i="5"/>
  <c r="O185" i="5" s="1"/>
  <c r="M184" i="5"/>
  <c r="O184" i="5" s="1"/>
  <c r="M183" i="5"/>
  <c r="O183" i="5" s="1"/>
  <c r="M182" i="5"/>
  <c r="O182" i="5" s="1"/>
  <c r="M181" i="5"/>
  <c r="O181" i="5" s="1"/>
  <c r="M180" i="5"/>
  <c r="O180" i="5" s="1"/>
  <c r="M179" i="5"/>
  <c r="O179" i="5" s="1"/>
  <c r="M178" i="5"/>
  <c r="O178" i="5" s="1"/>
  <c r="M177" i="5"/>
  <c r="O177" i="5" s="1"/>
  <c r="M176" i="5"/>
  <c r="O176" i="5" s="1"/>
  <c r="M175" i="5"/>
  <c r="O175" i="5" s="1"/>
  <c r="M174" i="5"/>
  <c r="O174" i="5" s="1"/>
  <c r="M173" i="5"/>
  <c r="O173" i="5" s="1"/>
  <c r="M172" i="5"/>
  <c r="O172" i="5" s="1"/>
  <c r="M171" i="5"/>
  <c r="O171" i="5" s="1"/>
  <c r="M170" i="5"/>
  <c r="O170" i="5" s="1"/>
  <c r="M169" i="5"/>
  <c r="O169" i="5" s="1"/>
  <c r="M168" i="5"/>
  <c r="O168" i="5" s="1"/>
  <c r="M167" i="5"/>
  <c r="O167" i="5" s="1"/>
  <c r="M166" i="5"/>
  <c r="O166" i="5" s="1"/>
  <c r="M165" i="5"/>
  <c r="O165" i="5" s="1"/>
  <c r="M164" i="5"/>
  <c r="O164" i="5" s="1"/>
  <c r="M163" i="5"/>
  <c r="O163" i="5" s="1"/>
  <c r="M162" i="5"/>
  <c r="O162" i="5" s="1"/>
  <c r="M161" i="5"/>
  <c r="O161" i="5" s="1"/>
  <c r="M160" i="5"/>
  <c r="O160" i="5" s="1"/>
  <c r="M159" i="5"/>
  <c r="O159" i="5" s="1"/>
  <c r="M158" i="5"/>
  <c r="O158" i="5" s="1"/>
  <c r="M157" i="5"/>
  <c r="O157" i="5" s="1"/>
  <c r="M156" i="5"/>
  <c r="O156" i="5" s="1"/>
  <c r="M155" i="5"/>
  <c r="O155" i="5" s="1"/>
  <c r="M154" i="5"/>
  <c r="O154" i="5" s="1"/>
  <c r="M153" i="5"/>
  <c r="O153" i="5" s="1"/>
  <c r="M152" i="5"/>
  <c r="O152" i="5" s="1"/>
  <c r="M151" i="5"/>
  <c r="O151" i="5" s="1"/>
  <c r="M150" i="5"/>
  <c r="O150" i="5" s="1"/>
  <c r="M149" i="5"/>
  <c r="O149" i="5" s="1"/>
  <c r="M147" i="5"/>
  <c r="O147" i="5" s="1"/>
  <c r="M146" i="5"/>
  <c r="O146" i="5" s="1"/>
  <c r="M145" i="5"/>
  <c r="O145" i="5" s="1"/>
  <c r="M144" i="5"/>
  <c r="O144" i="5" s="1"/>
  <c r="M143" i="5"/>
  <c r="O143" i="5" s="1"/>
  <c r="M142" i="5"/>
  <c r="O142" i="5" s="1"/>
  <c r="M141" i="5"/>
  <c r="O141" i="5" s="1"/>
  <c r="M140" i="5"/>
  <c r="O140" i="5" s="1"/>
  <c r="M139" i="5"/>
  <c r="O139" i="5" s="1"/>
  <c r="M138" i="5"/>
  <c r="O138" i="5" s="1"/>
  <c r="M137" i="5"/>
  <c r="O137" i="5" s="1"/>
  <c r="M136" i="5"/>
  <c r="O136" i="5" s="1"/>
  <c r="M135" i="5"/>
  <c r="O135" i="5" s="1"/>
  <c r="M134" i="5"/>
  <c r="O134" i="5" s="1"/>
  <c r="M133" i="5"/>
  <c r="O133" i="5" s="1"/>
  <c r="M132" i="5"/>
  <c r="O132" i="5" s="1"/>
  <c r="M131" i="5"/>
  <c r="O131" i="5" s="1"/>
  <c r="K265" i="5" s="1"/>
  <c r="M129" i="5"/>
  <c r="O129" i="5" s="1"/>
  <c r="M128" i="5"/>
  <c r="O128" i="5" s="1"/>
  <c r="M127" i="5"/>
  <c r="O127" i="5" s="1"/>
  <c r="M126" i="5"/>
  <c r="O126" i="5" s="1"/>
  <c r="M125" i="5"/>
  <c r="O125" i="5" s="1"/>
  <c r="M124" i="5"/>
  <c r="O124" i="5" s="1"/>
  <c r="M123" i="5"/>
  <c r="O123" i="5" s="1"/>
  <c r="M122" i="5"/>
  <c r="O122" i="5" s="1"/>
  <c r="M121" i="5"/>
  <c r="O121" i="5" s="1"/>
  <c r="M119" i="5"/>
  <c r="O119" i="5" s="1"/>
  <c r="M118" i="5"/>
  <c r="O118" i="5" s="1"/>
  <c r="M117" i="5"/>
  <c r="O117" i="5" s="1"/>
  <c r="M116" i="5"/>
  <c r="O116" i="5" s="1"/>
  <c r="M115" i="5"/>
  <c r="O115" i="5" s="1"/>
  <c r="M114" i="5"/>
  <c r="O114" i="5" s="1"/>
  <c r="M113" i="5"/>
  <c r="O113" i="5" s="1"/>
  <c r="M112" i="5"/>
  <c r="O112" i="5" s="1"/>
  <c r="M111" i="5"/>
  <c r="O111" i="5" s="1"/>
  <c r="M110" i="5"/>
  <c r="O110" i="5" s="1"/>
  <c r="M109" i="5"/>
  <c r="O109" i="5" s="1"/>
  <c r="M108" i="5"/>
  <c r="O108" i="5" s="1"/>
  <c r="M107" i="5"/>
  <c r="O107" i="5" s="1"/>
  <c r="M106" i="5"/>
  <c r="O106" i="5" s="1"/>
  <c r="M105" i="5"/>
  <c r="O105" i="5" s="1"/>
  <c r="M104" i="5"/>
  <c r="O104" i="5" s="1"/>
  <c r="M103" i="5"/>
  <c r="O103" i="5" s="1"/>
  <c r="M102" i="5"/>
  <c r="O102" i="5" s="1"/>
  <c r="M101" i="5"/>
  <c r="O101" i="5" s="1"/>
  <c r="M99" i="5"/>
  <c r="O99" i="5" s="1"/>
  <c r="M98" i="5"/>
  <c r="O98" i="5" s="1"/>
  <c r="M97" i="5"/>
  <c r="O97" i="5" s="1"/>
  <c r="M96" i="5"/>
  <c r="O96" i="5" s="1"/>
  <c r="M95" i="5"/>
  <c r="O95" i="5" s="1"/>
  <c r="M94" i="5"/>
  <c r="O94" i="5" s="1"/>
  <c r="M93" i="5"/>
  <c r="O93" i="5" s="1"/>
  <c r="M92" i="5"/>
  <c r="O92" i="5" s="1"/>
  <c r="M91" i="5"/>
  <c r="O91" i="5" s="1"/>
  <c r="M90" i="5"/>
  <c r="O90" i="5" s="1"/>
  <c r="M89" i="5"/>
  <c r="O89" i="5" s="1"/>
  <c r="M88" i="5"/>
  <c r="O88" i="5" s="1"/>
  <c r="M87" i="5"/>
  <c r="O87" i="5" s="1"/>
  <c r="M86" i="5"/>
  <c r="O86" i="5" s="1"/>
  <c r="M85" i="5"/>
  <c r="O85" i="5" s="1"/>
  <c r="M84" i="5"/>
  <c r="O84" i="5" s="1"/>
  <c r="M83" i="5"/>
  <c r="O83" i="5" s="1"/>
  <c r="M82" i="5"/>
  <c r="O82" i="5" s="1"/>
  <c r="M81" i="5"/>
  <c r="O81" i="5" s="1"/>
  <c r="M80" i="5"/>
  <c r="O80" i="5" s="1"/>
  <c r="M79" i="5"/>
  <c r="O79" i="5" s="1"/>
  <c r="M78" i="5"/>
  <c r="O78" i="5" s="1"/>
  <c r="M77" i="5"/>
  <c r="O77" i="5" s="1"/>
  <c r="M76" i="5"/>
  <c r="O76" i="5" s="1"/>
  <c r="M75" i="5"/>
  <c r="O75" i="5" s="1"/>
  <c r="M74" i="5"/>
  <c r="O74" i="5" s="1"/>
  <c r="M73" i="5"/>
  <c r="O73" i="5" s="1"/>
  <c r="M72" i="5"/>
  <c r="O72" i="5" s="1"/>
  <c r="M71" i="5"/>
  <c r="O71" i="5" s="1"/>
  <c r="M70" i="5"/>
  <c r="O70" i="5" s="1"/>
  <c r="M69" i="5"/>
  <c r="O69" i="5" s="1"/>
  <c r="M68" i="5"/>
  <c r="O68" i="5" s="1"/>
  <c r="M67" i="5"/>
  <c r="O67" i="5" s="1"/>
  <c r="M66" i="5"/>
  <c r="O66" i="5" s="1"/>
  <c r="M65" i="5"/>
  <c r="O65" i="5" s="1"/>
  <c r="M64" i="5"/>
  <c r="O64" i="5" s="1"/>
  <c r="M63" i="5"/>
  <c r="O63" i="5" s="1"/>
  <c r="M62" i="5"/>
  <c r="O62" i="5" s="1"/>
  <c r="M61" i="5"/>
  <c r="O61" i="5" s="1"/>
  <c r="M60" i="5"/>
  <c r="O60" i="5" s="1"/>
  <c r="M59" i="5"/>
  <c r="O59" i="5" s="1"/>
  <c r="M58" i="5"/>
  <c r="O58" i="5" s="1"/>
  <c r="M57" i="5"/>
  <c r="O57" i="5" s="1"/>
  <c r="M56" i="5"/>
  <c r="O56" i="5" s="1"/>
  <c r="M55" i="5"/>
  <c r="O55" i="5" s="1"/>
  <c r="M54" i="5"/>
  <c r="O54" i="5" s="1"/>
  <c r="M53" i="5"/>
  <c r="O53" i="5" s="1"/>
  <c r="M52" i="5"/>
  <c r="O52" i="5" s="1"/>
  <c r="M51" i="5"/>
  <c r="O51" i="5" s="1"/>
  <c r="M50" i="5"/>
  <c r="O50" i="5" s="1"/>
  <c r="M49" i="5"/>
  <c r="O49" i="5" s="1"/>
  <c r="M48" i="5"/>
  <c r="O48" i="5" s="1"/>
  <c r="M47" i="5"/>
  <c r="O47" i="5" s="1"/>
  <c r="M46" i="5"/>
  <c r="O46" i="5" s="1"/>
  <c r="M45" i="5"/>
  <c r="O45" i="5" s="1"/>
  <c r="M44" i="5"/>
  <c r="O44" i="5" s="1"/>
  <c r="M43" i="5"/>
  <c r="O43" i="5" s="1"/>
  <c r="M42" i="5"/>
  <c r="O42" i="5" s="1"/>
  <c r="M41" i="5"/>
  <c r="O41" i="5" s="1"/>
  <c r="M40" i="5"/>
  <c r="O40" i="5" s="1"/>
  <c r="M39" i="5"/>
  <c r="O39" i="5" s="1"/>
  <c r="M38" i="5"/>
  <c r="O38" i="5" s="1"/>
  <c r="M37" i="5"/>
  <c r="O37" i="5" s="1"/>
  <c r="M36" i="5"/>
  <c r="O36" i="5" s="1"/>
  <c r="M35" i="5"/>
  <c r="O35" i="5" s="1"/>
  <c r="M34" i="5"/>
  <c r="O34" i="5" s="1"/>
  <c r="M33" i="5"/>
  <c r="O33" i="5" s="1"/>
  <c r="M32" i="5"/>
  <c r="O32" i="5" s="1"/>
  <c r="M31" i="5"/>
  <c r="O31" i="5" s="1"/>
  <c r="M30" i="5"/>
  <c r="O30" i="5" s="1"/>
  <c r="M29" i="5"/>
  <c r="O29" i="5" s="1"/>
  <c r="M28" i="5"/>
  <c r="O28" i="5" s="1"/>
  <c r="M27" i="5"/>
  <c r="O27" i="5" s="1"/>
  <c r="M26" i="5"/>
  <c r="O26" i="5" s="1"/>
  <c r="M25" i="5"/>
  <c r="O25" i="5" s="1"/>
  <c r="M24" i="5"/>
  <c r="O24" i="5" s="1"/>
  <c r="M23" i="5"/>
  <c r="O23" i="5" s="1"/>
  <c r="M22" i="5"/>
  <c r="O22" i="5" s="1"/>
  <c r="M21" i="5"/>
  <c r="O21" i="5" s="1"/>
  <c r="M20" i="5"/>
  <c r="O20" i="5" s="1"/>
  <c r="M19" i="5"/>
  <c r="O19" i="5" s="1"/>
  <c r="M18" i="5"/>
  <c r="O18" i="5" s="1"/>
  <c r="M17" i="5"/>
  <c r="O17" i="5" s="1"/>
  <c r="M16" i="5"/>
  <c r="O16" i="5" s="1"/>
  <c r="M15" i="5"/>
  <c r="O15" i="5" s="1"/>
  <c r="J261" i="5"/>
  <c r="M14" i="5"/>
  <c r="O14" i="5" s="1"/>
  <c r="M13" i="5"/>
  <c r="O13" i="5" s="1"/>
  <c r="M12" i="5"/>
  <c r="O12" i="5" s="1"/>
  <c r="M11" i="5"/>
  <c r="O11" i="5" s="1"/>
  <c r="M10" i="5"/>
  <c r="O10" i="5" s="1"/>
  <c r="M9" i="5"/>
  <c r="O9" i="5" s="1"/>
  <c r="M8" i="5"/>
  <c r="O8" i="5" s="1"/>
  <c r="M7" i="5"/>
  <c r="O7" i="5" s="1"/>
  <c r="D3" i="3"/>
  <c r="D4" i="3"/>
  <c r="D2" i="3"/>
  <c r="D265" i="5" l="1"/>
  <c r="G32" i="6"/>
  <c r="K264" i="5"/>
  <c r="K267" i="5"/>
  <c r="D267" i="5" s="1"/>
  <c r="D270" i="5" s="1"/>
  <c r="G61" i="6"/>
  <c r="G23" i="6"/>
  <c r="O267" i="5" s="1"/>
  <c r="O262" i="5"/>
  <c r="K263" i="5"/>
  <c r="M261" i="5"/>
  <c r="K266" i="5"/>
  <c r="O261" i="5"/>
  <c r="D642" i="5"/>
  <c r="O268" i="5" l="1"/>
  <c r="I462" i="5" s="1"/>
  <c r="B24" i="6"/>
  <c r="I455" i="5"/>
  <c r="D262" i="5"/>
  <c r="I448" i="5" s="1"/>
  <c r="D266" i="5"/>
  <c r="I456" i="5" s="1"/>
  <c r="I449" i="5"/>
  <c r="D264" i="5"/>
  <c r="D263" i="5" s="1"/>
  <c r="I450" i="5" s="1"/>
  <c r="C7" i="3"/>
  <c r="B7" i="3"/>
  <c r="R270" i="5" l="1"/>
  <c r="J458" i="5"/>
  <c r="G24" i="6"/>
  <c r="B25" i="6"/>
  <c r="I457" i="5"/>
  <c r="I460" i="5" s="1"/>
  <c r="J452" i="5"/>
  <c r="D268" i="5"/>
  <c r="D269" i="5"/>
  <c r="D271" i="5" s="1"/>
  <c r="I451" i="5"/>
  <c r="I454" i="5" s="1"/>
  <c r="G30" i="6" l="1"/>
  <c r="G34" i="6" s="1"/>
  <c r="G35" i="6" s="1"/>
  <c r="G36" i="6" s="1"/>
  <c r="G38" i="6" s="1"/>
  <c r="G25" i="6"/>
  <c r="I461" i="5"/>
  <c r="I465" i="5" s="1"/>
  <c r="J476" i="5" s="1"/>
  <c r="J482" i="5" s="1"/>
  <c r="G39" i="6" l="1"/>
  <c r="B39" i="6"/>
  <c r="G41" i="6"/>
  <c r="B41" i="6" s="1"/>
  <c r="I470" i="5"/>
  <c r="G47" i="6" l="1"/>
  <c r="B46" i="1"/>
  <c r="B47" i="1" s="1"/>
  <c r="G57" i="6" l="1"/>
  <c r="G63" i="6" s="1"/>
  <c r="G53" i="6"/>
  <c r="B24" i="1"/>
  <c r="C24" i="1"/>
  <c r="H24" i="1"/>
  <c r="K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2" i="1"/>
  <c r="I17" i="1"/>
  <c r="I16" i="1"/>
  <c r="I10" i="1"/>
  <c r="I22" i="1"/>
  <c r="I21" i="1"/>
  <c r="I20" i="1"/>
  <c r="I19" i="1"/>
  <c r="I18" i="1"/>
  <c r="I15" i="1"/>
  <c r="I14" i="1"/>
  <c r="I13" i="1"/>
  <c r="I12" i="1"/>
  <c r="I11" i="1"/>
  <c r="I9" i="1"/>
  <c r="I8" i="1"/>
  <c r="I5" i="1"/>
  <c r="I7" i="1"/>
  <c r="I2" i="1"/>
  <c r="J22" i="1" l="1"/>
  <c r="L22" i="1" s="1"/>
  <c r="M22" i="1" s="1"/>
  <c r="J14" i="1"/>
  <c r="L14" i="1" s="1"/>
  <c r="M14" i="1" s="1"/>
  <c r="J5" i="1"/>
  <c r="L5" i="1" s="1"/>
  <c r="M5" i="1" s="1"/>
  <c r="J15" i="1"/>
  <c r="L15" i="1" s="1"/>
  <c r="M15" i="1" s="1"/>
  <c r="J18" i="1"/>
  <c r="L18" i="1" s="1"/>
  <c r="M18" i="1" s="1"/>
  <c r="L35" i="1"/>
  <c r="I24" i="1"/>
  <c r="D24" i="1"/>
  <c r="J10" i="1"/>
  <c r="L10" i="1" s="1"/>
  <c r="M10" i="1" s="1"/>
  <c r="J3" i="1"/>
  <c r="L3" i="1" s="1"/>
  <c r="M3" i="1" s="1"/>
  <c r="J8" i="1"/>
  <c r="L8" i="1" s="1"/>
  <c r="M8" i="1" s="1"/>
  <c r="J12" i="1"/>
  <c r="L12" i="1" s="1"/>
  <c r="M12" i="1" s="1"/>
  <c r="J16" i="1"/>
  <c r="L16" i="1" s="1"/>
  <c r="M16" i="1" s="1"/>
  <c r="J20" i="1"/>
  <c r="L20" i="1" s="1"/>
  <c r="M20" i="1" s="1"/>
  <c r="J4" i="1"/>
  <c r="L4" i="1" s="1"/>
  <c r="M4" i="1" s="1"/>
  <c r="J2" i="1"/>
  <c r="J19" i="1"/>
  <c r="L19" i="1" s="1"/>
  <c r="M19" i="1" s="1"/>
  <c r="J9" i="1"/>
  <c r="L9" i="1" s="1"/>
  <c r="B38" i="1" s="1"/>
  <c r="J13" i="1"/>
  <c r="L13" i="1" s="1"/>
  <c r="M13" i="1" s="1"/>
  <c r="J17" i="1"/>
  <c r="L17" i="1" s="1"/>
  <c r="M17" i="1" s="1"/>
  <c r="J21" i="1"/>
  <c r="L21" i="1" s="1"/>
  <c r="M21" i="1" s="1"/>
  <c r="J7" i="1"/>
  <c r="L7" i="1" s="1"/>
  <c r="M7" i="1" s="1"/>
  <c r="J23" i="1"/>
  <c r="L23" i="1" s="1"/>
  <c r="M23" i="1" s="1"/>
  <c r="J11" i="1"/>
  <c r="L11" i="1" s="1"/>
  <c r="M11" i="1" s="1"/>
  <c r="J6" i="1"/>
  <c r="L6" i="1" s="1"/>
  <c r="M6" i="1" s="1"/>
  <c r="M9" i="1" l="1"/>
  <c r="L2" i="1"/>
  <c r="J24" i="1"/>
  <c r="L24" i="1" l="1"/>
  <c r="M2" i="1"/>
  <c r="M24" i="1" l="1"/>
  <c r="B37" i="1"/>
  <c r="B39" i="1" s="1"/>
  <c r="B40" i="1" s="1"/>
  <c r="B41" i="1" s="1"/>
  <c r="L36" i="1"/>
  <c r="B44" i="1" l="1"/>
  <c r="D7" i="3" l="1"/>
  <c r="B48" i="1" l="1"/>
  <c r="E22" i="2" s="1"/>
  <c r="E23" i="2" s="1"/>
</calcChain>
</file>

<file path=xl/sharedStrings.xml><?xml version="1.0" encoding="utf-8"?>
<sst xmlns="http://schemas.openxmlformats.org/spreadsheetml/2006/main" count="749" uniqueCount="513">
  <si>
    <t>Item</t>
  </si>
  <si>
    <t>Total # of Full Cases</t>
  </si>
  <si>
    <t>Total # of Open items</t>
  </si>
  <si>
    <t>Transfers In/Out</t>
  </si>
  <si>
    <t>Damage</t>
  </si>
  <si>
    <t>End Total # of Full Cases</t>
  </si>
  <si>
    <t>End Total # of Open Items</t>
  </si>
  <si>
    <t>End Inventory</t>
  </si>
  <si>
    <t>Beginning Inventory</t>
  </si>
  <si>
    <t>Total Inventory Sold</t>
  </si>
  <si>
    <t>Price per item</t>
  </si>
  <si>
    <t>Total Made</t>
  </si>
  <si>
    <t>Our Percentage</t>
  </si>
  <si>
    <t>Candy</t>
  </si>
  <si>
    <t>Souvenir/Cup of Ice</t>
  </si>
  <si>
    <t>Sausage Patty (80 per case)</t>
  </si>
  <si>
    <t>Cheeseburger patty (60 per case)</t>
  </si>
  <si>
    <t>Hot Dog (60 per case)</t>
  </si>
  <si>
    <t>Peanuts (36 per case)</t>
  </si>
  <si>
    <t>Coffee/Hot Cocoa (50 per sleeve)</t>
  </si>
  <si>
    <t>Fries (1000 per case 50 per sleeve)</t>
  </si>
  <si>
    <t>Water (24 per case)</t>
  </si>
  <si>
    <t>Coke (24 per case)</t>
  </si>
  <si>
    <t>Diet Coke (24 per case)</t>
  </si>
  <si>
    <t>Sprite (24 per case)</t>
  </si>
  <si>
    <t>Coke Zero (24 per case)</t>
  </si>
  <si>
    <t>Mello Yello (24 per case)</t>
  </si>
  <si>
    <t>Gatorade (24 per case)</t>
  </si>
  <si>
    <t>Budweiser 16 oz (24 per case)</t>
  </si>
  <si>
    <t>Bud Light 16 oz (24 per case)</t>
  </si>
  <si>
    <t>Coors Light 16 oz (24 per case)</t>
  </si>
  <si>
    <t>Miller Lite 16 oz (24 per case)</t>
  </si>
  <si>
    <t>Michelor Ultra 16 oz (24 per case)</t>
  </si>
  <si>
    <t>Volunteer</t>
  </si>
  <si>
    <t>#hours</t>
  </si>
  <si>
    <t>Jamil Cunningham</t>
  </si>
  <si>
    <t>Player</t>
  </si>
  <si>
    <t>Kayla Washington</t>
  </si>
  <si>
    <t>Amount Deposited</t>
  </si>
  <si>
    <t>Rosalie Wong</t>
  </si>
  <si>
    <t>Dennis Stinson</t>
  </si>
  <si>
    <t>Total Hours</t>
  </si>
  <si>
    <t>Total Deposited</t>
  </si>
  <si>
    <t>Total Sales</t>
  </si>
  <si>
    <t>Water</t>
  </si>
  <si>
    <t>Less Sales tax 6.5%</t>
  </si>
  <si>
    <t>Tota Net Sales</t>
  </si>
  <si>
    <t>10% Commission</t>
  </si>
  <si>
    <t>Tips Received</t>
  </si>
  <si>
    <t>Total Earned</t>
  </si>
  <si>
    <t>Less Shortage</t>
  </si>
  <si>
    <t>Total Hrs Volunteerd</t>
  </si>
  <si>
    <t>Hrly rate credited</t>
  </si>
  <si>
    <t>Organization</t>
  </si>
  <si>
    <t>#Shirts</t>
  </si>
  <si>
    <t>#Hats</t>
  </si>
  <si>
    <t>Heidi Miller</t>
  </si>
  <si>
    <t>Charge Player Acct</t>
  </si>
  <si>
    <t>Organization, RESERVE</t>
  </si>
  <si>
    <t>Team</t>
  </si>
  <si>
    <t>Stand:</t>
  </si>
  <si>
    <t>TRAILER 3</t>
  </si>
  <si>
    <t>Group:</t>
  </si>
  <si>
    <t>FUTURE REBELS FASTPITCH</t>
  </si>
  <si>
    <t>Event:</t>
  </si>
  <si>
    <t>Group #:</t>
  </si>
  <si>
    <t>Date:</t>
  </si>
  <si>
    <t>Signature from Lead:</t>
  </si>
  <si>
    <t>Event Type/Time:</t>
  </si>
  <si>
    <t>ENTRÉE ITEMS</t>
  </si>
  <si>
    <t>Chargeable Item</t>
  </si>
  <si>
    <t>Beginning</t>
  </si>
  <si>
    <t>Reload</t>
  </si>
  <si>
    <t>Eats</t>
  </si>
  <si>
    <t>Damages</t>
  </si>
  <si>
    <t>Transfer Out</t>
  </si>
  <si>
    <t>Final Count</t>
  </si>
  <si>
    <t>Sold</t>
  </si>
  <si>
    <t>Price</t>
  </si>
  <si>
    <t>Extention</t>
  </si>
  <si>
    <t>BBQ CHICKEN SANDWICH</t>
  </si>
  <si>
    <t>TRAY, 3# HEARTHSTONE</t>
  </si>
  <si>
    <t>BBQ CHICKEN SANDWICH PLATTER</t>
  </si>
  <si>
    <t>PLATE, DIVIDED WHITE</t>
  </si>
  <si>
    <t>BBQ PORK SANDWICH</t>
  </si>
  <si>
    <t>TRAY, 3# WHITE</t>
  </si>
  <si>
    <t>BBQ PORK SANDWICH PLATTER</t>
  </si>
  <si>
    <t>PLATE, DIVIDED BLACK</t>
  </si>
  <si>
    <t>BOJ CAJUN CHICKEN SANDWICH</t>
  </si>
  <si>
    <t>BUN, 4"</t>
  </si>
  <si>
    <t>FILET</t>
  </si>
  <si>
    <t>BOJ CHICKEN SUPREMES</t>
  </si>
  <si>
    <t>TRAY, BOJ SNACK BOX</t>
  </si>
  <si>
    <t>BOJ SEASONED FRIES</t>
  </si>
  <si>
    <t>CUP, BOJ</t>
  </si>
  <si>
    <t>BREAKFAST SANDWICH</t>
  </si>
  <si>
    <t>SAUSAGE PATTY</t>
  </si>
  <si>
    <t>CARVED PRIME RIB SANDWICH</t>
  </si>
  <si>
    <t>TRAY, 3# GREEN</t>
  </si>
  <si>
    <t>CARVED TURKEY SANDWICH</t>
  </si>
  <si>
    <t>TRAY, 3# YELLOW</t>
  </si>
  <si>
    <t>CHEESEBURGER, ALL AMERICAN</t>
  </si>
  <si>
    <t>TRAY, 3# BLUE</t>
  </si>
  <si>
    <t>CHEESEBURGER, DOUBLE</t>
  </si>
  <si>
    <t>PATTY</t>
  </si>
  <si>
    <t>CHEESEBURGER, JALAPENO BACON PEPPERJACK</t>
  </si>
  <si>
    <t>CHEESEBURGER, PASTRAMI SWISS</t>
  </si>
  <si>
    <t>TRAY, 3# ORANGE</t>
  </si>
  <si>
    <t>CHEESEBURGER, SINGLE</t>
  </si>
  <si>
    <t>CHEESESTEAK, CHICKEN</t>
  </si>
  <si>
    <t>BUN, 8" AMOROSO</t>
  </si>
  <si>
    <t>CHEESESTEAK, CREATE YOUR OWN</t>
  </si>
  <si>
    <t>TRAY, 250# BOAT "USA"</t>
  </si>
  <si>
    <t>CHEESESTEAK, PHILLY</t>
  </si>
  <si>
    <t>TRAY, 3# RED</t>
  </si>
  <si>
    <t>CHEESESTEAK, TRADITIONAL</t>
  </si>
  <si>
    <t>CHEESESTEAK, VEGGIE</t>
  </si>
  <si>
    <t>TRAY, 3#, WHITE</t>
  </si>
  <si>
    <t>CHICKEN TENTERS/WINGS/BONELESS (SAUCED)</t>
  </si>
  <si>
    <t>TRAY, 5" X 6" NACHO</t>
  </si>
  <si>
    <t>CHICKEN, GRILLED SANDWICH</t>
  </si>
  <si>
    <t>CHICKEN PATTY</t>
  </si>
  <si>
    <t>CHICKEN, TENDERS W/FRIES</t>
  </si>
  <si>
    <t>TRAY, 2# BOAT BLACK</t>
  </si>
  <si>
    <t>FOOTLONG CORN DOG</t>
  </si>
  <si>
    <t>CORN DOG</t>
  </si>
  <si>
    <t>FRIES, COMBO/VALUE</t>
  </si>
  <si>
    <t>WHITE CUP, 12 OZ.</t>
  </si>
  <si>
    <t>FRIES, JUMBO</t>
  </si>
  <si>
    <t>CUP, 32 OZ.</t>
  </si>
  <si>
    <t>FRIES, REGULAR</t>
  </si>
  <si>
    <t>FRY CUP, 16 OZ.</t>
  </si>
  <si>
    <t>GRILLED CHEESE, CLASSIC</t>
  </si>
  <si>
    <t>SANDWICH</t>
  </si>
  <si>
    <t>GRILLED CHEESE, FOUR CHEESE</t>
  </si>
  <si>
    <t>GRILLED CHEESE, TOMATO PESTO</t>
  </si>
  <si>
    <t>GRILLED CHEESE, TRIPLE DECKER</t>
  </si>
  <si>
    <t>HOT DOG, 2/1 DAYTONA SPDWY/HALF LB.</t>
  </si>
  <si>
    <t>2/1 DOG</t>
  </si>
  <si>
    <t>HOT DOG, 2/1 SPECIALTY/FIRECRACKER</t>
  </si>
  <si>
    <t>TRAY, 2.5# BOAT</t>
  </si>
  <si>
    <t>HOT DOG, 6/1</t>
  </si>
  <si>
    <t>6/1 DOG</t>
  </si>
  <si>
    <t>HOT DOG, 6/1 BILL FRANCE</t>
  </si>
  <si>
    <t>HOT DOG, 6/1 CHILI CHEESE</t>
  </si>
  <si>
    <t>HOT DOG, 6/1 FIRECRACKER</t>
  </si>
  <si>
    <t>HOT DOG, 6/1 GREEK</t>
  </si>
  <si>
    <t>HOT DOG, 6/1 SPECIALTY</t>
  </si>
  <si>
    <t>HOT DOG, 6/1 TACHO</t>
  </si>
  <si>
    <t>HOT DOG, BILL FRANCE</t>
  </si>
  <si>
    <t>HOT DOG, GREEK</t>
  </si>
  <si>
    <t>HOT DOG, TACHO</t>
  </si>
  <si>
    <t>KIDS MEAL</t>
  </si>
  <si>
    <t>BOX, KIDS MEAL</t>
  </si>
  <si>
    <t>ONION RINGS</t>
  </si>
  <si>
    <t>TRAY, 1#</t>
  </si>
  <si>
    <t>PANINI ($8 PER SANDWICH =@ $4 PER BREAD SLICE)</t>
  </si>
  <si>
    <t>BREAD, SLICE</t>
  </si>
  <si>
    <t>PANINI, MARGHERITA</t>
  </si>
  <si>
    <t>PANINI</t>
  </si>
  <si>
    <t>PANINI, PESTO CHICKEN</t>
  </si>
  <si>
    <t>PANINI, PIZZA</t>
  </si>
  <si>
    <t>PIZZA, PERSONAL</t>
  </si>
  <si>
    <t>PIZZA</t>
  </si>
  <si>
    <t>RIBEYE STEAK SAND</t>
  </si>
  <si>
    <t>STEAK</t>
  </si>
  <si>
    <t>SALADS</t>
  </si>
  <si>
    <t>TRAY, 7.5" OCTAVIEW</t>
  </si>
  <si>
    <t>SANDWICH, TURKEY</t>
  </si>
  <si>
    <t>SAUSAGE, BRATWURST</t>
  </si>
  <si>
    <t>LINK, 5/1 BRAT</t>
  </si>
  <si>
    <t>SAUSAGE, ITALIAN</t>
  </si>
  <si>
    <t>LINK, 5/1 ITALIAN</t>
  </si>
  <si>
    <t>SAUSAGE, JALAPENO CHEDDARWURST</t>
  </si>
  <si>
    <t>LINK, 5/1 JALAPENO CHED.</t>
  </si>
  <si>
    <t>SAUSAGE, LOUISIANA HOT LINK</t>
  </si>
  <si>
    <t>LINK, 5/1 LOUISIANA HOT LINK</t>
  </si>
  <si>
    <t>SAUSAGE, POLISH</t>
  </si>
  <si>
    <t>LINK, 5/1 POLISH</t>
  </si>
  <si>
    <t>SOFT TACOS (TWO FOR $6 = $3 PER TORTILLA)</t>
  </si>
  <si>
    <t>TORTILLA</t>
  </si>
  <si>
    <t>SUB SANDWICH, HAM OR TURKEY</t>
  </si>
  <si>
    <t>ROLL, 7" SUB</t>
  </si>
  <si>
    <t>SUB SANDWICH, ITALIAN (FROM CATERING)</t>
  </si>
  <si>
    <t>SUB SANDWICH</t>
  </si>
  <si>
    <t>TATER TOTS</t>
  </si>
  <si>
    <t>TURKEY LEG</t>
  </si>
  <si>
    <t>TURKEY LEG PLATTER</t>
  </si>
  <si>
    <t>PLATE, DIVIDED RED</t>
  </si>
  <si>
    <t>WRAP, BUFFALO CHICKEN</t>
  </si>
  <si>
    <t>WRAP</t>
  </si>
  <si>
    <t>WRAP, TURKEY</t>
  </si>
  <si>
    <t>SNACK ITEMS</t>
  </si>
  <si>
    <t>CANDY</t>
  </si>
  <si>
    <t>BOX</t>
  </si>
  <si>
    <t xml:space="preserve">CHIPS  </t>
  </si>
  <si>
    <t>BAG</t>
  </si>
  <si>
    <t>COOKIES</t>
  </si>
  <si>
    <t>NACHOS, GRANDE</t>
  </si>
  <si>
    <t>NACHOS, REGULAR W/CHEESE</t>
  </si>
  <si>
    <t>TRAY, 2 COMP.</t>
  </si>
  <si>
    <t>NACHOS, TACO</t>
  </si>
  <si>
    <t>NACHOS, ULTIMATE</t>
  </si>
  <si>
    <t>PEANUTS</t>
  </si>
  <si>
    <t>POPCORN</t>
  </si>
  <si>
    <t>POPCORN, FRESH</t>
  </si>
  <si>
    <t>POPCORN BOX</t>
  </si>
  <si>
    <t>PRETZEL</t>
  </si>
  <si>
    <t>PRETZEL CHEESE CUP</t>
  </si>
  <si>
    <t>CHEESE CUP</t>
  </si>
  <si>
    <t>SIDE ITEMS</t>
  </si>
  <si>
    <t>COLE SLAW</t>
  </si>
  <si>
    <t>CUP, 4OZ. PORTION</t>
  </si>
  <si>
    <t>POTATO SALAD</t>
  </si>
  <si>
    <t>BBQ BAKED BEANS</t>
  </si>
  <si>
    <t>BEVERAGE ITEMS</t>
  </si>
  <si>
    <t>WATER 20OZ</t>
  </si>
  <si>
    <t>BTL</t>
  </si>
  <si>
    <t>COKE</t>
  </si>
  <si>
    <t>DIET</t>
  </si>
  <si>
    <t>SPRITE</t>
  </si>
  <si>
    <t>ZERO</t>
  </si>
  <si>
    <t>MELLO YELLO</t>
  </si>
  <si>
    <t xml:space="preserve">GATORADE </t>
  </si>
  <si>
    <t>FULL THROTTLE</t>
  </si>
  <si>
    <t>CAN</t>
  </si>
  <si>
    <t>SOUV CUP OF ICE</t>
  </si>
  <si>
    <t>CUP, 22 OZ.</t>
  </si>
  <si>
    <t>COFFEE/HOT COCOA</t>
  </si>
  <si>
    <t>CUP, 16 OZ.</t>
  </si>
  <si>
    <t>BOJ ICED TEA</t>
  </si>
  <si>
    <t>TEA, SWEET OR UNSWEET</t>
  </si>
  <si>
    <t>TEA CUP</t>
  </si>
  <si>
    <t>TERVIS - SODA</t>
  </si>
  <si>
    <t>TERVIS COUPON</t>
  </si>
  <si>
    <t>ICE</t>
  </si>
  <si>
    <t>ALCOHOL ITEMS</t>
  </si>
  <si>
    <t>BEER, BUD</t>
  </si>
  <si>
    <t xml:space="preserve">BEER, BUD LIGHT </t>
  </si>
  <si>
    <t>BEER, COORS LIGHT</t>
  </si>
  <si>
    <t>BEER, MILLER LITE</t>
  </si>
  <si>
    <t>BEER, MICHELOB ULTRA</t>
  </si>
  <si>
    <t>BEER, BUD ALUM</t>
  </si>
  <si>
    <t>AL BTL</t>
  </si>
  <si>
    <t>BEER, BUD LIGHT ALUM</t>
  </si>
  <si>
    <t>BEER, MICHELOB ULTRA ALUM</t>
  </si>
  <si>
    <t>BEER, BUD LIGHT LIME ALUM</t>
  </si>
  <si>
    <t>BEER, BUD FAN APPRECIATION</t>
  </si>
  <si>
    <t>CAN, 12 OZ.</t>
  </si>
  <si>
    <t>BEER, DRAFT DOMESTIC</t>
  </si>
  <si>
    <t>CUP, 24 OZ. LOGO</t>
  </si>
  <si>
    <t>BEER, DRAFT PREMIUM</t>
  </si>
  <si>
    <t>CUP, 16 OZ. LOGO</t>
  </si>
  <si>
    <t>BEER, LANDSHARK</t>
  </si>
  <si>
    <t>BEER, SHOCK TOP BELGIUM WHITE</t>
  </si>
  <si>
    <t>BEER, SHOCK TOP SHANDY</t>
  </si>
  <si>
    <t>BEER, STELLA</t>
  </si>
  <si>
    <t>MALT, LIME A RITA</t>
  </si>
  <si>
    <t>MALT, STRAWBER-RITA</t>
  </si>
  <si>
    <t>MALT, JOHNNY APPLE SEED CIDER</t>
  </si>
  <si>
    <t>BUCKET</t>
  </si>
  <si>
    <t>DRINKS, BOMBERS</t>
  </si>
  <si>
    <t>CUP, BOMBER</t>
  </si>
  <si>
    <t>DRINKS, FROZEN</t>
  </si>
  <si>
    <t>CUP, 12 OZ. CLEAR</t>
  </si>
  <si>
    <t>DRINKS, MIXED</t>
  </si>
  <si>
    <t>CUP, 9 OZ. SQUAT CLEAR</t>
  </si>
  <si>
    <t>DRINKS, MIXED W/PATRON</t>
  </si>
  <si>
    <t>CUP, 9 OZ. TRANS.</t>
  </si>
  <si>
    <t>DRINKS, SHOT</t>
  </si>
  <si>
    <t>CUP, PLASTIC SHOT GLASS CLEAR</t>
  </si>
  <si>
    <t>DRINKS, SHOT W/PATRON</t>
  </si>
  <si>
    <t>CUP, PLASTIC SHOT GLASS COLORED</t>
  </si>
  <si>
    <t>LIQUOR, CROWN ROYAL 1L</t>
  </si>
  <si>
    <t>BTL, 25 DRINKS/1L (@ $8 EA.)</t>
  </si>
  <si>
    <t>LIQUOR, GIN PINNACLE 1L</t>
  </si>
  <si>
    <t>LIQUOR, GIN SEAGRAM'S</t>
  </si>
  <si>
    <t>LIQUOR, GIN TANQUERAY</t>
  </si>
  <si>
    <t xml:space="preserve">LIQUOR, JACK DANIELS  </t>
  </si>
  <si>
    <t>LIQUOR, JACK DANIELS BLACK</t>
  </si>
  <si>
    <t>LIQUOR, JACK DANIELS GENTLEMAN JACK</t>
  </si>
  <si>
    <t>LIQUOR, JACK DANIELS HONEY</t>
  </si>
  <si>
    <t>LIQUOR, JACK DANIELS RYE</t>
  </si>
  <si>
    <t>LIQUOR, JACK DANIELS SINGLE BARREL</t>
  </si>
  <si>
    <t>LIQUOR, JAGERMEISTER 1L</t>
  </si>
  <si>
    <t>LIQUOR, JIM BEAM</t>
  </si>
  <si>
    <t>LIQUOR, JIM BEAM BLACK</t>
  </si>
  <si>
    <t>LIQUOR, JIM BEAM BLACK CHERRY</t>
  </si>
  <si>
    <t>LIQUOR, JIM BEAM DOUBLE BLACK</t>
  </si>
  <si>
    <t>LIQUOR, JIM BEAM HONEY</t>
  </si>
  <si>
    <t>LIQUOR, JIM BEAM HONEY TEA</t>
  </si>
  <si>
    <t>LIQUOR, JIM BEAM RED STAG</t>
  </si>
  <si>
    <t>LIQUOR, JIM BEAM RED STAG CHERRY</t>
  </si>
  <si>
    <t>LIQUOR, JIM BEAM RED STAG HONEY TEA</t>
  </si>
  <si>
    <t>LIQUOR, RUM 151 BACARDI</t>
  </si>
  <si>
    <t>LIQUOR, RUM BACARDI</t>
  </si>
  <si>
    <t>LIQUOR, RUM CAPTAIN MORGAN</t>
  </si>
  <si>
    <t>LIQUOR, RUM CAPTAIN MORGAN LIME BITE</t>
  </si>
  <si>
    <t>LIQUOR, RUM CRUZAN</t>
  </si>
  <si>
    <t>LIQUOR, RUM CRUZAN AGED LIGHT</t>
  </si>
  <si>
    <t>LIQUOR, RUM CRUZAN SPICED</t>
  </si>
  <si>
    <t>LIQUOR, RUM MARGARITAVILLE</t>
  </si>
  <si>
    <t>LIQUOR, RUM MEYERS</t>
  </si>
  <si>
    <t>LIQUOR, RUM PARROT BAY</t>
  </si>
  <si>
    <t>LIQUOR, RUM PYRAT XO RSV 750ml</t>
  </si>
  <si>
    <t>BTL, 18 DRINKS/1L (@ $8 EA.)</t>
  </si>
  <si>
    <t>LIQUOR, SCOTCH DEWARS</t>
  </si>
  <si>
    <t>LIQUOR, SOUTHERN COMFORT</t>
  </si>
  <si>
    <t>LIQUOR, TEQUILA AGAVALES</t>
  </si>
  <si>
    <t>BTL, 43 DRINKS/1.75L (@ $8 EA.)</t>
  </si>
  <si>
    <t>LIQUOR, TEQUILA HORNITOS</t>
  </si>
  <si>
    <t>LIQUOR, TEQUILA JOSE CUERVO</t>
  </si>
  <si>
    <t>LIQUOR, TEQUILA MARGARITAVILLE GOLD</t>
  </si>
  <si>
    <t>LIQUOR, TEQUILA MARGARITAVILLE ISLAND LIME</t>
  </si>
  <si>
    <t>LIQUOR, TEQUILA MARGARITAVILLE LIME READY TO POUR</t>
  </si>
  <si>
    <t>BTL, 5 DRINKS/1L (@ $8 EA.)</t>
  </si>
  <si>
    <t>LIQUOR, TEQUILA PATRON ANEJO 750ml</t>
  </si>
  <si>
    <t>BTL, 18 DRINKS/1L (@ $10 EA.)</t>
  </si>
  <si>
    <t>LIQUOR, TEQUILA PATRON CITRONGE 750ml</t>
  </si>
  <si>
    <t>LIQUOR, TEQUILA PATRON REPOSADO 750ml</t>
  </si>
  <si>
    <t>LIQUOR, TEQUILA PATRON SILVER 750 ml</t>
  </si>
  <si>
    <t>LIQUOR, TEQUILA PATRON XO CAFÉ 750ml</t>
  </si>
  <si>
    <t>LIQUOR, TEQUILA PATRON XO CAFÉ DARK COCOA 750ml</t>
  </si>
  <si>
    <t>LIQUOR, TEQUILA SAUZA GOLD</t>
  </si>
  <si>
    <t>LIQUOR, TEQUILA THREE AMIGOS</t>
  </si>
  <si>
    <t>LIQUOR, TEQUILA THREE AMIGOS REPOSADO</t>
  </si>
  <si>
    <t>LIQUOR, VODKA JEREMIAH WEED SWEET TEA</t>
  </si>
  <si>
    <t>LIQUOR, VODKA PINNACLE</t>
  </si>
  <si>
    <t>LIQUOR, VODKA SMIRNOFF</t>
  </si>
  <si>
    <t>LIQUOR, VODKA, ULTIMATE 750ml</t>
  </si>
  <si>
    <t>LIQUOR, VODKA-WHISKEY JEREMIAH WEED SWEET TEA</t>
  </si>
  <si>
    <t>TERVIS - DOMESTIC BEER</t>
  </si>
  <si>
    <t>TERVIS - MIXED DRINK</t>
  </si>
  <si>
    <t>TERVIS - WINE</t>
  </si>
  <si>
    <t>TERVIS - COUPONS</t>
  </si>
  <si>
    <t>TERVIS - CUPS</t>
  </si>
  <si>
    <t>TERVIS CUPS</t>
  </si>
  <si>
    <t>OLE SMOKY, 100</t>
  </si>
  <si>
    <t>BTL, 18 DRINKS/750ML (@ $8 EA.)</t>
  </si>
  <si>
    <t>OLE SMOKY, APPLE PIE</t>
  </si>
  <si>
    <t>OLE SMOKY, BLACKBERRY</t>
  </si>
  <si>
    <t>OLE SMOKY, CHERRIES</t>
  </si>
  <si>
    <t>BTL, 750ML</t>
  </si>
  <si>
    <t>OLE SMOKY, PEACH</t>
  </si>
  <si>
    <t>OLE SMOKY, WHITE LIGHTNING</t>
  </si>
  <si>
    <t>WINE, CUP</t>
  </si>
  <si>
    <t>CUP, 7 OZ. CLEAR</t>
  </si>
  <si>
    <t>WINE, BLUSH:  WHITE ZINFANDEL</t>
  </si>
  <si>
    <t>WINE, RED:  CABERNET</t>
  </si>
  <si>
    <t>WINE, RED:  MERLOT</t>
  </si>
  <si>
    <t>WINE, RED:  SWEET RED</t>
  </si>
  <si>
    <t>WINE, WHITE:  CHARDONNAY</t>
  </si>
  <si>
    <t>WINE, WHITE:  MOSCATO</t>
  </si>
  <si>
    <t>WINE, WHITE:  PINOT GRIGIO</t>
  </si>
  <si>
    <t>TOTAL</t>
  </si>
  <si>
    <t>Total Gross</t>
  </si>
  <si>
    <t>Total Extended</t>
  </si>
  <si>
    <t>Daily Sales</t>
  </si>
  <si>
    <t>Sales Tx F &amp; B @</t>
  </si>
  <si>
    <t xml:space="preserve">Food  </t>
  </si>
  <si>
    <t>Net Sales F&amp;B</t>
  </si>
  <si>
    <t>Snack/Side</t>
  </si>
  <si>
    <t>Visa</t>
  </si>
  <si>
    <t>Net Sales Water</t>
  </si>
  <si>
    <t>Mastercard</t>
  </si>
  <si>
    <t>Sales Tx Alcohol @</t>
  </si>
  <si>
    <t>NA Bev</t>
  </si>
  <si>
    <t>A/X</t>
  </si>
  <si>
    <t>Net Sales Alcohol</t>
  </si>
  <si>
    <t>Alcohol</t>
  </si>
  <si>
    <t>Total Collected</t>
  </si>
  <si>
    <t>Discover</t>
  </si>
  <si>
    <t>Total Net Sales</t>
  </si>
  <si>
    <t>O / S</t>
  </si>
  <si>
    <t>total</t>
  </si>
  <si>
    <t>F&amp;B Comm @</t>
  </si>
  <si>
    <t>Alcohol Comm @</t>
  </si>
  <si>
    <t>% Diff</t>
  </si>
  <si>
    <t>Total Comm</t>
  </si>
  <si>
    <t>Sheet Below is to be given to Group at beginning of night</t>
  </si>
  <si>
    <t>Sport:</t>
  </si>
  <si>
    <t xml:space="preserve">Opening </t>
  </si>
  <si>
    <t>Final</t>
  </si>
  <si>
    <t>Product</t>
  </si>
  <si>
    <t>Count</t>
  </si>
  <si>
    <t>Trans Out</t>
  </si>
  <si>
    <t>+</t>
  </si>
  <si>
    <t>-</t>
  </si>
  <si>
    <t>$</t>
  </si>
  <si>
    <t>FOOD AND BEVG</t>
  </si>
  <si>
    <t>AMERICROWN SERVICES CORPORATION</t>
  </si>
  <si>
    <t>NON-PROFIT ORGANIZATION INVOICE</t>
  </si>
  <si>
    <t>ACCOUNT ID</t>
  </si>
  <si>
    <t>DEPARTMENT DESCRIPTION</t>
  </si>
  <si>
    <t>EVENT:</t>
  </si>
  <si>
    <t>PRODUCT DESCRIPTION</t>
  </si>
  <si>
    <t>DATE:</t>
  </si>
  <si>
    <t>INVOICE DATE:</t>
  </si>
  <si>
    <t>EVENT TYPE:</t>
  </si>
  <si>
    <t>INVOICE #:</t>
  </si>
  <si>
    <t>STAND:</t>
  </si>
  <si>
    <t>PAY TO:</t>
  </si>
  <si>
    <t>VENDOR #:</t>
  </si>
  <si>
    <t>TOTAL GROSS REVENUE</t>
  </si>
  <si>
    <t>F&amp;B GROSS REVENUE</t>
  </si>
  <si>
    <t xml:space="preserve">SALES TAX </t>
  </si>
  <si>
    <t>NET F&amp;B REVENUE</t>
  </si>
  <si>
    <t>% BONUS</t>
  </si>
  <si>
    <t>F&amp;B COMM RATE</t>
  </si>
  <si>
    <t>or FLAT RATE</t>
  </si>
  <si>
    <t>Sub Total Commission for F&amp;B</t>
  </si>
  <si>
    <t>ALCOHOL GROSS REVENUE</t>
  </si>
  <si>
    <t>NET ALCOHOL REVENUE</t>
  </si>
  <si>
    <t>ALCOHOL COMM RATE</t>
  </si>
  <si>
    <t>Sub Total Commission for Alcohol</t>
  </si>
  <si>
    <t>TOTAL COMM</t>
  </si>
  <si>
    <t>TOTAL O/S</t>
  </si>
  <si>
    <t>$ BONUS</t>
  </si>
  <si>
    <t>Commission Sub-Total Before Expenses</t>
  </si>
  <si>
    <t>Uniform Expenses</t>
  </si>
  <si>
    <t>Eats Expenses</t>
  </si>
  <si>
    <t>TOTAL COMMISSION DUE</t>
  </si>
  <si>
    <t>EVENT</t>
  </si>
  <si>
    <t>ACCOUNTING</t>
  </si>
  <si>
    <t>Amount</t>
  </si>
  <si>
    <t>SUL</t>
  </si>
  <si>
    <t>MSI00-710200-40170-110514</t>
  </si>
  <si>
    <t>fix row number</t>
  </si>
  <si>
    <t>D500</t>
  </si>
  <si>
    <t>MSI00-710200-40170-112014</t>
  </si>
  <si>
    <t>UNIFORMS</t>
  </si>
  <si>
    <t>MSI00-133000</t>
  </si>
  <si>
    <t>EATS EXPENSES</t>
  </si>
  <si>
    <t>NET CHECK AMOUNT</t>
  </si>
  <si>
    <t xml:space="preserve">APPROVED BY: </t>
  </si>
  <si>
    <t>ITEM</t>
  </si>
  <si>
    <t>NPO Price</t>
  </si>
  <si>
    <t>Cost</t>
  </si>
  <si>
    <t>Total Eats</t>
  </si>
  <si>
    <t>Reload #:</t>
  </si>
  <si>
    <t xml:space="preserve">Reload </t>
  </si>
  <si>
    <t>GROUP LEAD SIGNATURE:</t>
  </si>
  <si>
    <t>STAND SUPERVISOR SIGNATURE:</t>
  </si>
  <si>
    <t>FOOD STAND COMMISSION CHART</t>
  </si>
  <si>
    <t>DAYTONA ROLEX 24</t>
  </si>
  <si>
    <t xml:space="preserve">Cash Turned In </t>
  </si>
  <si>
    <t>Inventory Sold</t>
  </si>
  <si>
    <t>Cash Difference</t>
  </si>
  <si>
    <t>COMMISSION CALCULATION</t>
  </si>
  <si>
    <t>Total Gross Inventory Sold</t>
  </si>
  <si>
    <t>Net Sales - Water</t>
  </si>
  <si>
    <t>Less : Sales Tax (6.5%) on Remaining Inventory Sold</t>
  </si>
  <si>
    <t>Net Sales - Remaining Inventory Sold</t>
  </si>
  <si>
    <t>Total Commissionable Receipt</t>
  </si>
  <si>
    <t xml:space="preserve"> </t>
  </si>
  <si>
    <t>Commission before Adjustments (10%)</t>
  </si>
  <si>
    <t>Cash deposit for 07/06/2014</t>
  </si>
  <si>
    <t>Less : Sales Tax of 07/06/2014 deposit(6.5%)</t>
  </si>
  <si>
    <t>Commissionable Receipt for 07/06/2014 only</t>
  </si>
  <si>
    <t>Event Postponement Bonus</t>
  </si>
  <si>
    <t>Commission Before Uniform Adjustment</t>
  </si>
  <si>
    <t>Less Uniforms</t>
  </si>
  <si>
    <t>Less shirts purchased (@ $4.50 each)</t>
  </si>
  <si>
    <t>Less hats purchased (@ $1.75 each)</t>
  </si>
  <si>
    <t>Net Check Amount</t>
  </si>
  <si>
    <t>Accounting</t>
  </si>
  <si>
    <t>Grilled Chicken (42 per case)</t>
  </si>
  <si>
    <t>Draft Tent</t>
  </si>
  <si>
    <t>*2/18 started with 1260 instead of 1380 due to refrig not working damaged on report of 120</t>
  </si>
  <si>
    <t>2/18 started with 21 not 22 damaged 1</t>
  </si>
  <si>
    <t>2/18 ISSUE 34 cases at 24 +13 is 829 not 842 as indicated on paperwork</t>
  </si>
  <si>
    <t>2/18 ISSUE should be 17cases instead of 20 difference of 36</t>
  </si>
  <si>
    <t>2/18 ISSUE should be 19 cases instead of 16 difference of =36</t>
  </si>
  <si>
    <t>2/18 ISSUE should be 21 cases instead of 22 difference of 24</t>
  </si>
  <si>
    <t>Date</t>
  </si>
  <si>
    <t>Ed Eberhardt</t>
  </si>
  <si>
    <t>Cheri Wong (Lead)</t>
  </si>
  <si>
    <t>TRAILER 2 FAN ZONE</t>
  </si>
  <si>
    <t>BEER, DRAFT</t>
  </si>
  <si>
    <t>CUP</t>
  </si>
  <si>
    <t>Organization Fee</t>
  </si>
  <si>
    <t>Comments</t>
  </si>
  <si>
    <t>Bike Week</t>
  </si>
  <si>
    <t>3/7/15 &amp; 3/14/15</t>
  </si>
  <si>
    <t>BIKEWEEK</t>
  </si>
  <si>
    <t>MSI00-710200-40170-113515</t>
  </si>
  <si>
    <t>Annie Miller</t>
  </si>
  <si>
    <t>Diane Patana</t>
  </si>
  <si>
    <t>Andrea Eberhardt (Lead)</t>
  </si>
  <si>
    <t>Kearston Eberhardt</t>
  </si>
  <si>
    <t>Andi Stinson</t>
  </si>
  <si>
    <t>Sherri Dixon (Lead)</t>
  </si>
  <si>
    <t>Tim Swiger</t>
  </si>
  <si>
    <t>Melissa Collins</t>
  </si>
  <si>
    <t>Shad Bybee</t>
  </si>
  <si>
    <t>Chris Davis</t>
  </si>
  <si>
    <t>Brooke Aldrich</t>
  </si>
  <si>
    <t>Dale Aldrich</t>
  </si>
  <si>
    <t>Christine Maglio</t>
  </si>
  <si>
    <t>Joe De La Garza</t>
  </si>
  <si>
    <t>Ashley Dixon</t>
  </si>
  <si>
    <t>Sierra Swiger</t>
  </si>
  <si>
    <t>Hannah Collins</t>
  </si>
  <si>
    <t>Shaela Bybee</t>
  </si>
  <si>
    <t>Cheri Wong Lead Hrs</t>
  </si>
  <si>
    <t>Sherri dixon Lead Hrs</t>
  </si>
  <si>
    <t>Total</t>
  </si>
  <si>
    <t>amount</t>
  </si>
  <si>
    <t>18u</t>
  </si>
  <si>
    <t>14u</t>
  </si>
  <si>
    <t>16u</t>
  </si>
  <si>
    <t>Organization Uniform</t>
  </si>
  <si>
    <t>Lead 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</si>
</sst>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/dd/yy"/>
    <numFmt numFmtId="166" formatCode="[$$-409]#,##0.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6"/>
      <name val="Malgun Gothic"/>
      <family val="2"/>
    </font>
    <font>
      <b/>
      <sz val="16"/>
      <name val="Malgun Gothic"/>
      <family val="2"/>
    </font>
    <font>
      <sz val="7"/>
      <name val="Malgun Gothic"/>
      <family val="2"/>
    </font>
    <font>
      <sz val="10"/>
      <name val="Malgun Gothic"/>
      <family val="2"/>
    </font>
    <font>
      <sz val="12"/>
      <name val="Malgun Gothic"/>
      <family val="2"/>
    </font>
    <font>
      <sz val="10"/>
      <name val="Arial"/>
      <family val="2"/>
    </font>
    <font>
      <sz val="16"/>
      <color theme="1"/>
      <name val="Malgun Gothic"/>
      <family val="2"/>
    </font>
    <font>
      <sz val="14"/>
      <name val="Malgun Gothic"/>
      <family val="2"/>
    </font>
    <font>
      <b/>
      <sz val="10"/>
      <name val="Malgun Gothic"/>
      <family val="2"/>
    </font>
    <font>
      <u val="singleAccounting"/>
      <sz val="14"/>
      <name val="Malgun Gothic"/>
      <family val="2"/>
    </font>
    <font>
      <b/>
      <sz val="12"/>
      <name val="Malgun Gothic"/>
      <family val="2"/>
    </font>
    <font>
      <b/>
      <i/>
      <sz val="10"/>
      <name val="Malgun Gothic"/>
      <family val="2"/>
    </font>
    <font>
      <b/>
      <sz val="24"/>
      <name val="Malgun Gothic"/>
      <family val="2"/>
    </font>
    <font>
      <sz val="24"/>
      <name val="Malgun Gothic"/>
      <family val="2"/>
    </font>
    <font>
      <sz val="20"/>
      <name val="Malgun Gothic"/>
      <family val="2"/>
    </font>
    <font>
      <b/>
      <sz val="20"/>
      <name val="Malgun Gothic"/>
      <family val="2"/>
    </font>
    <font>
      <u val="singleAccounting"/>
      <sz val="20"/>
      <name val="Malgun Gothic"/>
      <family val="2"/>
    </font>
    <font>
      <b/>
      <i/>
      <sz val="20"/>
      <name val="Malgun Gothic"/>
      <family val="2"/>
    </font>
    <font>
      <b/>
      <i/>
      <u val="singleAccounting"/>
      <sz val="20"/>
      <name val="Malgun Gothic"/>
      <family val="2"/>
    </font>
    <font>
      <sz val="26"/>
      <name val="Malgun Gothic"/>
      <family val="2"/>
    </font>
    <font>
      <sz val="12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u/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8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/>
  </cellStyleXfs>
  <cellXfs count="354">
    <xf numFmtId="0" fontId="0" fillId="0" borderId="0" xfId="0"/>
    <xf numFmtId="15" fontId="0" fillId="0" borderId="0" xfId="0" applyNumberFormat="1"/>
    <xf numFmtId="43" fontId="0" fillId="0" borderId="0" xfId="1" applyFont="1"/>
    <xf numFmtId="0" fontId="0" fillId="0" borderId="0" xfId="0" applyAlignment="1">
      <alignment horizontal="center"/>
    </xf>
    <xf numFmtId="43" fontId="0" fillId="0" borderId="0" xfId="1" applyFont="1" applyAlignment="1">
      <alignment horizontal="center"/>
    </xf>
    <xf numFmtId="2" fontId="0" fillId="0" borderId="0" xfId="0" applyNumberFormat="1"/>
    <xf numFmtId="0" fontId="3" fillId="0" borderId="1" xfId="0" applyFont="1" applyFill="1" applyBorder="1" applyProtection="1"/>
    <xf numFmtId="49" fontId="4" fillId="0" borderId="2" xfId="0" applyNumberFormat="1" applyFont="1" applyFill="1" applyBorder="1" applyProtection="1"/>
    <xf numFmtId="0" fontId="3" fillId="0" borderId="2" xfId="0" applyFont="1" applyFill="1" applyBorder="1" applyProtection="1"/>
    <xf numFmtId="0" fontId="3" fillId="0" borderId="3" xfId="0" applyFont="1" applyFill="1" applyBorder="1" applyProtection="1"/>
    <xf numFmtId="0" fontId="3" fillId="0" borderId="4" xfId="0" applyFont="1" applyFill="1" applyBorder="1" applyProtection="1"/>
    <xf numFmtId="0" fontId="3" fillId="0" borderId="0" xfId="0" applyFont="1" applyFill="1" applyProtection="1"/>
    <xf numFmtId="0" fontId="4" fillId="0" borderId="2" xfId="0" applyFont="1" applyFill="1" applyBorder="1" applyAlignment="1" applyProtection="1">
      <alignment horizontal="left"/>
    </xf>
    <xf numFmtId="0" fontId="3" fillId="0" borderId="0" xfId="0" applyFont="1" applyFill="1" applyBorder="1" applyProtection="1"/>
    <xf numFmtId="0" fontId="3" fillId="0" borderId="5" xfId="0" applyFont="1" applyFill="1" applyBorder="1" applyProtection="1"/>
    <xf numFmtId="0" fontId="3" fillId="0" borderId="6" xfId="0" applyFont="1" applyFill="1" applyBorder="1" applyAlignment="1" applyProtection="1">
      <alignment horizontal="left"/>
    </xf>
    <xf numFmtId="0" fontId="3" fillId="0" borderId="6" xfId="0" applyFont="1" applyFill="1" applyBorder="1" applyProtection="1"/>
    <xf numFmtId="0" fontId="5" fillId="0" borderId="7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5" fillId="0" borderId="5" xfId="0" applyFont="1" applyFill="1" applyBorder="1" applyAlignment="1" applyProtection="1">
      <alignment horizontal="center"/>
    </xf>
    <xf numFmtId="0" fontId="6" fillId="0" borderId="0" xfId="0" applyFont="1" applyFill="1" applyProtection="1"/>
    <xf numFmtId="0" fontId="3" fillId="3" borderId="8" xfId="0" applyFont="1" applyFill="1" applyBorder="1" applyProtection="1"/>
    <xf numFmtId="0" fontId="7" fillId="3" borderId="8" xfId="0" applyFont="1" applyFill="1" applyBorder="1" applyProtection="1"/>
    <xf numFmtId="0" fontId="7" fillId="3" borderId="8" xfId="0" applyFont="1" applyFill="1" applyBorder="1" applyAlignment="1" applyProtection="1">
      <alignment horizontal="center"/>
    </xf>
    <xf numFmtId="44" fontId="7" fillId="3" borderId="8" xfId="2" applyFont="1" applyFill="1" applyBorder="1" applyAlignment="1" applyProtection="1">
      <alignment horizontal="center"/>
    </xf>
    <xf numFmtId="44" fontId="7" fillId="0" borderId="0" xfId="2" applyFont="1" applyFill="1" applyBorder="1" applyAlignment="1" applyProtection="1"/>
    <xf numFmtId="0" fontId="7" fillId="0" borderId="0" xfId="0" applyFont="1" applyFill="1" applyProtection="1"/>
    <xf numFmtId="0" fontId="3" fillId="0" borderId="8" xfId="0" applyFont="1" applyFill="1" applyBorder="1" applyProtection="1"/>
    <xf numFmtId="164" fontId="3" fillId="0" borderId="8" xfId="1" applyNumberFormat="1" applyFont="1" applyFill="1" applyBorder="1" applyAlignment="1" applyProtection="1">
      <alignment horizontal="center"/>
      <protection locked="0"/>
    </xf>
    <xf numFmtId="164" fontId="3" fillId="0" borderId="8" xfId="1" applyNumberFormat="1" applyFont="1" applyFill="1" applyBorder="1" applyAlignment="1" applyProtection="1">
      <alignment horizontal="center"/>
    </xf>
    <xf numFmtId="44" fontId="3" fillId="0" borderId="8" xfId="2" applyFont="1" applyFill="1" applyBorder="1" applyProtection="1"/>
    <xf numFmtId="44" fontId="3" fillId="0" borderId="9" xfId="2" applyFont="1" applyFill="1" applyBorder="1" applyAlignment="1" applyProtection="1"/>
    <xf numFmtId="44" fontId="3" fillId="0" borderId="0" xfId="2" applyFont="1" applyFill="1" applyBorder="1" applyAlignment="1" applyProtection="1"/>
    <xf numFmtId="164" fontId="3" fillId="3" borderId="8" xfId="1" applyNumberFormat="1" applyFont="1" applyFill="1" applyBorder="1" applyAlignment="1" applyProtection="1">
      <alignment horizontal="center"/>
      <protection locked="0"/>
    </xf>
    <xf numFmtId="164" fontId="3" fillId="3" borderId="8" xfId="1" applyNumberFormat="1" applyFont="1" applyFill="1" applyBorder="1" applyAlignment="1" applyProtection="1">
      <alignment horizontal="center"/>
    </xf>
    <xf numFmtId="44" fontId="3" fillId="3" borderId="8" xfId="2" applyFont="1" applyFill="1" applyBorder="1" applyProtection="1"/>
    <xf numFmtId="44" fontId="3" fillId="3" borderId="9" xfId="2" applyFont="1" applyFill="1" applyBorder="1" applyAlignment="1" applyProtection="1"/>
    <xf numFmtId="164" fontId="9" fillId="0" borderId="8" xfId="1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Protection="1"/>
    <xf numFmtId="164" fontId="3" fillId="0" borderId="8" xfId="1" applyNumberFormat="1" applyFont="1" applyFill="1" applyBorder="1" applyAlignment="1" applyProtection="1">
      <alignment horizontal="right"/>
      <protection locked="0"/>
    </xf>
    <xf numFmtId="164" fontId="3" fillId="0" borderId="8" xfId="1" applyNumberFormat="1" applyFont="1" applyFill="1" applyBorder="1" applyAlignment="1" applyProtection="1">
      <alignment horizontal="right"/>
    </xf>
    <xf numFmtId="2" fontId="3" fillId="0" borderId="8" xfId="1" applyNumberFormat="1" applyFont="1" applyFill="1" applyBorder="1" applyAlignment="1" applyProtection="1">
      <alignment horizontal="right"/>
      <protection locked="0"/>
    </xf>
    <xf numFmtId="2" fontId="3" fillId="0" borderId="8" xfId="1" applyNumberFormat="1" applyFont="1" applyFill="1" applyBorder="1" applyAlignment="1" applyProtection="1">
      <alignment horizontal="right"/>
    </xf>
    <xf numFmtId="164" fontId="3" fillId="0" borderId="10" xfId="1" applyNumberFormat="1" applyFont="1" applyFill="1" applyBorder="1" applyAlignment="1" applyProtection="1">
      <alignment horizontal="right"/>
      <protection locked="0"/>
    </xf>
    <xf numFmtId="0" fontId="4" fillId="3" borderId="11" xfId="0" applyFont="1" applyFill="1" applyBorder="1" applyProtection="1"/>
    <xf numFmtId="0" fontId="4" fillId="3" borderId="12" xfId="0" applyFont="1" applyFill="1" applyBorder="1" applyProtection="1"/>
    <xf numFmtId="164" fontId="4" fillId="3" borderId="12" xfId="1" applyNumberFormat="1" applyFont="1" applyFill="1" applyBorder="1" applyAlignment="1" applyProtection="1">
      <alignment horizontal="center"/>
      <protection locked="0"/>
    </xf>
    <xf numFmtId="4" fontId="4" fillId="3" borderId="12" xfId="1" applyNumberFormat="1" applyFont="1" applyFill="1" applyBorder="1" applyAlignment="1" applyProtection="1"/>
    <xf numFmtId="44" fontId="4" fillId="3" borderId="12" xfId="2" applyFont="1" applyFill="1" applyBorder="1" applyProtection="1"/>
    <xf numFmtId="44" fontId="4" fillId="3" borderId="13" xfId="2" applyFont="1" applyFill="1" applyBorder="1" applyAlignment="1" applyProtection="1"/>
    <xf numFmtId="0" fontId="10" fillId="0" borderId="14" xfId="0" applyFont="1" applyFill="1" applyBorder="1" applyProtection="1"/>
    <xf numFmtId="44" fontId="10" fillId="0" borderId="0" xfId="0" applyNumberFormat="1" applyFont="1" applyFill="1" applyBorder="1" applyProtection="1"/>
    <xf numFmtId="44" fontId="10" fillId="0" borderId="6" xfId="0" applyNumberFormat="1" applyFont="1" applyFill="1" applyBorder="1" applyProtection="1"/>
    <xf numFmtId="44" fontId="6" fillId="0" borderId="0" xfId="0" applyNumberFormat="1" applyFont="1" applyFill="1" applyBorder="1" applyProtection="1"/>
    <xf numFmtId="44" fontId="3" fillId="0" borderId="15" xfId="0" applyNumberFormat="1" applyFont="1" applyFill="1" applyBorder="1" applyProtection="1"/>
    <xf numFmtId="44" fontId="6" fillId="0" borderId="0" xfId="2" applyFont="1" applyFill="1" applyBorder="1" applyAlignment="1" applyProtection="1"/>
    <xf numFmtId="10" fontId="10" fillId="0" borderId="0" xfId="3" applyNumberFormat="1" applyFont="1" applyFill="1" applyBorder="1" applyAlignment="1" applyProtection="1">
      <alignment horizontal="center"/>
    </xf>
    <xf numFmtId="44" fontId="12" fillId="0" borderId="0" xfId="0" applyNumberFormat="1" applyFont="1" applyFill="1" applyBorder="1" applyProtection="1"/>
    <xf numFmtId="0" fontId="10" fillId="0" borderId="0" xfId="0" applyFont="1" applyFill="1" applyBorder="1" applyProtection="1"/>
    <xf numFmtId="44" fontId="3" fillId="0" borderId="8" xfId="0" applyNumberFormat="1" applyFont="1" applyFill="1" applyBorder="1" applyProtection="1">
      <protection locked="0"/>
    </xf>
    <xf numFmtId="0" fontId="6" fillId="0" borderId="8" xfId="0" applyFont="1" applyFill="1" applyBorder="1" applyProtection="1"/>
    <xf numFmtId="44" fontId="6" fillId="0" borderId="0" xfId="2" applyFont="1" applyFill="1" applyProtection="1">
      <protection locked="0"/>
    </xf>
    <xf numFmtId="44" fontId="13" fillId="4" borderId="8" xfId="2" quotePrefix="1" applyFont="1" applyFill="1" applyBorder="1" applyAlignment="1" applyProtection="1">
      <alignment horizontal="center"/>
    </xf>
    <xf numFmtId="44" fontId="11" fillId="0" borderId="8" xfId="2" applyFont="1" applyFill="1" applyBorder="1" applyAlignment="1" applyProtection="1">
      <alignment horizontal="center"/>
    </xf>
    <xf numFmtId="44" fontId="3" fillId="0" borderId="8" xfId="0" applyNumberFormat="1" applyFont="1" applyFill="1" applyBorder="1" applyProtection="1"/>
    <xf numFmtId="10" fontId="10" fillId="0" borderId="0" xfId="0" applyNumberFormat="1" applyFont="1" applyFill="1" applyBorder="1" applyAlignment="1" applyProtection="1">
      <alignment horizontal="center"/>
    </xf>
    <xf numFmtId="44" fontId="12" fillId="0" borderId="0" xfId="2" applyFont="1" applyFill="1" applyBorder="1" applyProtection="1"/>
    <xf numFmtId="44" fontId="10" fillId="0" borderId="0" xfId="0" applyNumberFormat="1" applyFont="1" applyFill="1" applyProtection="1"/>
    <xf numFmtId="44" fontId="6" fillId="0" borderId="0" xfId="2" applyFont="1" applyFill="1" applyProtection="1"/>
    <xf numFmtId="44" fontId="6" fillId="0" borderId="0" xfId="2" applyFont="1" applyFill="1" applyBorder="1" applyProtection="1"/>
    <xf numFmtId="2" fontId="6" fillId="0" borderId="0" xfId="0" applyNumberFormat="1" applyFont="1" applyFill="1" applyProtection="1">
      <protection locked="0"/>
    </xf>
    <xf numFmtId="0" fontId="6" fillId="0" borderId="0" xfId="0" quotePrefix="1" applyFont="1" applyFill="1" applyProtection="1"/>
    <xf numFmtId="10" fontId="3" fillId="0" borderId="0" xfId="0" applyNumberFormat="1" applyFont="1" applyFill="1" applyProtection="1"/>
    <xf numFmtId="44" fontId="5" fillId="0" borderId="0" xfId="2" applyFont="1" applyFill="1" applyBorder="1" applyAlignment="1" applyProtection="1"/>
    <xf numFmtId="2" fontId="5" fillId="0" borderId="0" xfId="0" applyNumberFormat="1" applyFont="1" applyFill="1" applyProtection="1"/>
    <xf numFmtId="0" fontId="5" fillId="0" borderId="0" xfId="0" applyFont="1" applyFill="1" applyProtection="1"/>
    <xf numFmtId="0" fontId="7" fillId="0" borderId="16" xfId="0" applyFont="1" applyFill="1" applyBorder="1" applyProtection="1"/>
    <xf numFmtId="0" fontId="13" fillId="0" borderId="17" xfId="0" applyFont="1" applyFill="1" applyBorder="1" applyProtection="1"/>
    <xf numFmtId="0" fontId="7" fillId="0" borderId="17" xfId="0" applyFont="1" applyFill="1" applyBorder="1" applyProtection="1"/>
    <xf numFmtId="0" fontId="5" fillId="0" borderId="18" xfId="0" applyFont="1" applyFill="1" applyBorder="1" applyProtection="1"/>
    <xf numFmtId="0" fontId="6" fillId="0" borderId="17" xfId="0" applyFont="1" applyFill="1" applyBorder="1" applyProtection="1"/>
    <xf numFmtId="44" fontId="5" fillId="0" borderId="18" xfId="2" applyFont="1" applyFill="1" applyBorder="1" applyAlignment="1" applyProtection="1"/>
    <xf numFmtId="0" fontId="6" fillId="0" borderId="18" xfId="0" applyFont="1" applyFill="1" applyBorder="1" applyProtection="1"/>
    <xf numFmtId="0" fontId="6" fillId="0" borderId="19" xfId="0" applyFont="1" applyFill="1" applyBorder="1" applyProtection="1"/>
    <xf numFmtId="0" fontId="7" fillId="0" borderId="20" xfId="0" applyFont="1" applyFill="1" applyBorder="1" applyProtection="1"/>
    <xf numFmtId="0" fontId="13" fillId="0" borderId="2" xfId="0" applyFont="1" applyFill="1" applyBorder="1" applyAlignment="1" applyProtection="1">
      <alignment horizontal="left"/>
    </xf>
    <xf numFmtId="0" fontId="7" fillId="0" borderId="2" xfId="0" applyFont="1" applyFill="1" applyBorder="1" applyProtection="1"/>
    <xf numFmtId="0" fontId="5" fillId="0" borderId="0" xfId="0" applyFont="1" applyFill="1" applyBorder="1" applyProtection="1"/>
    <xf numFmtId="44" fontId="5" fillId="0" borderId="0" xfId="0" applyNumberFormat="1" applyFont="1" applyFill="1" applyBorder="1" applyProtection="1"/>
    <xf numFmtId="0" fontId="6" fillId="0" borderId="21" xfId="0" applyFont="1" applyFill="1" applyBorder="1" applyProtection="1"/>
    <xf numFmtId="0" fontId="7" fillId="0" borderId="0" xfId="0" applyFont="1" applyFill="1" applyBorder="1" applyProtection="1"/>
    <xf numFmtId="0" fontId="7" fillId="0" borderId="2" xfId="0" applyFont="1" applyFill="1" applyBorder="1" applyAlignment="1" applyProtection="1">
      <alignment horizontal="right"/>
    </xf>
    <xf numFmtId="0" fontId="7" fillId="0" borderId="6" xfId="0" applyFont="1" applyFill="1" applyBorder="1" applyProtection="1"/>
    <xf numFmtId="44" fontId="5" fillId="0" borderId="0" xfId="2" applyFont="1" applyFill="1" applyBorder="1" applyProtection="1"/>
    <xf numFmtId="0" fontId="5" fillId="0" borderId="14" xfId="0" applyFont="1" applyFill="1" applyBorder="1" applyProtection="1"/>
    <xf numFmtId="0" fontId="5" fillId="0" borderId="21" xfId="0" applyFont="1" applyFill="1" applyBorder="1" applyAlignment="1" applyProtection="1">
      <alignment horizontal="center"/>
    </xf>
    <xf numFmtId="0" fontId="14" fillId="0" borderId="22" xfId="0" applyFont="1" applyFill="1" applyBorder="1" applyProtection="1"/>
    <xf numFmtId="0" fontId="14" fillId="0" borderId="6" xfId="0" applyFont="1" applyFill="1" applyBorder="1" applyProtection="1"/>
    <xf numFmtId="0" fontId="5" fillId="0" borderId="6" xfId="0" applyFont="1" applyFill="1" applyBorder="1" applyAlignment="1" applyProtection="1"/>
    <xf numFmtId="44" fontId="5" fillId="0" borderId="23" xfId="2" applyFont="1" applyFill="1" applyBorder="1" applyAlignment="1" applyProtection="1"/>
    <xf numFmtId="0" fontId="7" fillId="0" borderId="24" xfId="0" applyFont="1" applyFill="1" applyBorder="1" applyAlignment="1" applyProtection="1"/>
    <xf numFmtId="0" fontId="7" fillId="0" borderId="8" xfId="0" applyFont="1" applyFill="1" applyBorder="1" applyAlignment="1" applyProtection="1"/>
    <xf numFmtId="164" fontId="7" fillId="0" borderId="8" xfId="1" applyNumberFormat="1" applyFont="1" applyFill="1" applyBorder="1" applyAlignment="1" applyProtection="1">
      <alignment horizontal="center"/>
    </xf>
    <xf numFmtId="2" fontId="7" fillId="0" borderId="9" xfId="0" applyNumberFormat="1" applyFont="1" applyFill="1" applyBorder="1" applyProtection="1"/>
    <xf numFmtId="0" fontId="7" fillId="5" borderId="24" xfId="0" applyFont="1" applyFill="1" applyBorder="1" applyAlignment="1" applyProtection="1"/>
    <xf numFmtId="0" fontId="7" fillId="5" borderId="8" xfId="0" applyFont="1" applyFill="1" applyBorder="1" applyAlignment="1" applyProtection="1"/>
    <xf numFmtId="164" fontId="7" fillId="5" borderId="8" xfId="1" applyNumberFormat="1" applyFont="1" applyFill="1" applyBorder="1" applyAlignment="1" applyProtection="1">
      <alignment horizontal="center"/>
    </xf>
    <xf numFmtId="2" fontId="7" fillId="5" borderId="9" xfId="0" applyNumberFormat="1" applyFont="1" applyFill="1" applyBorder="1" applyProtection="1"/>
    <xf numFmtId="0" fontId="7" fillId="6" borderId="24" xfId="0" applyFont="1" applyFill="1" applyBorder="1" applyAlignment="1" applyProtection="1"/>
    <xf numFmtId="0" fontId="7" fillId="6" borderId="8" xfId="0" applyFont="1" applyFill="1" applyBorder="1" applyAlignment="1" applyProtection="1"/>
    <xf numFmtId="164" fontId="7" fillId="6" borderId="8" xfId="1" applyNumberFormat="1" applyFont="1" applyFill="1" applyBorder="1" applyAlignment="1" applyProtection="1">
      <alignment horizontal="center"/>
    </xf>
    <xf numFmtId="2" fontId="7" fillId="6" borderId="9" xfId="0" applyNumberFormat="1" applyFont="1" applyFill="1" applyBorder="1" applyProtection="1"/>
    <xf numFmtId="0" fontId="7" fillId="5" borderId="25" xfId="0" applyFont="1" applyFill="1" applyBorder="1" applyAlignment="1" applyProtection="1"/>
    <xf numFmtId="0" fontId="7" fillId="5" borderId="26" xfId="0" applyFont="1" applyFill="1" applyBorder="1" applyAlignment="1" applyProtection="1"/>
    <xf numFmtId="164" fontId="7" fillId="5" borderId="26" xfId="1" applyNumberFormat="1" applyFont="1" applyFill="1" applyBorder="1" applyAlignment="1" applyProtection="1">
      <alignment horizontal="center"/>
    </xf>
    <xf numFmtId="2" fontId="7" fillId="5" borderId="27" xfId="0" applyNumberFormat="1" applyFont="1" applyFill="1" applyBorder="1" applyProtection="1"/>
    <xf numFmtId="0" fontId="15" fillId="0" borderId="0" xfId="0" applyFont="1" applyFill="1" applyBorder="1" applyProtection="1"/>
    <xf numFmtId="0" fontId="16" fillId="0" borderId="0" xfId="0" applyFont="1" applyFill="1" applyBorder="1" applyProtection="1"/>
    <xf numFmtId="0" fontId="16" fillId="0" borderId="0" xfId="0" applyFont="1" applyBorder="1" applyProtection="1"/>
    <xf numFmtId="0" fontId="16" fillId="0" borderId="0" xfId="0" applyFont="1" applyProtection="1"/>
    <xf numFmtId="0" fontId="10" fillId="0" borderId="28" xfId="0" applyFont="1" applyFill="1" applyBorder="1" applyProtection="1"/>
    <xf numFmtId="0" fontId="10" fillId="0" borderId="3" xfId="0" applyFont="1" applyFill="1" applyBorder="1" applyProtection="1"/>
    <xf numFmtId="0" fontId="10" fillId="0" borderId="3" xfId="0" applyFont="1" applyBorder="1" applyProtection="1"/>
    <xf numFmtId="0" fontId="10" fillId="0" borderId="4" xfId="0" applyFont="1" applyBorder="1" applyProtection="1"/>
    <xf numFmtId="0" fontId="10" fillId="0" borderId="0" xfId="0" applyFont="1" applyBorder="1" applyProtection="1"/>
    <xf numFmtId="0" fontId="10" fillId="0" borderId="0" xfId="0" applyFont="1" applyProtection="1"/>
    <xf numFmtId="0" fontId="15" fillId="0" borderId="7" xfId="0" applyFont="1" applyFill="1" applyBorder="1" applyProtection="1"/>
    <xf numFmtId="0" fontId="16" fillId="0" borderId="5" xfId="0" applyFont="1" applyBorder="1" applyProtection="1"/>
    <xf numFmtId="0" fontId="10" fillId="0" borderId="7" xfId="0" applyFont="1" applyFill="1" applyBorder="1" applyProtection="1"/>
    <xf numFmtId="0" fontId="10" fillId="0" borderId="5" xfId="0" applyFont="1" applyBorder="1" applyProtection="1"/>
    <xf numFmtId="0" fontId="17" fillId="0" borderId="7" xfId="0" applyFont="1" applyFill="1" applyBorder="1" applyProtection="1"/>
    <xf numFmtId="0" fontId="17" fillId="0" borderId="0" xfId="0" applyFont="1" applyFill="1" applyBorder="1" applyProtection="1"/>
    <xf numFmtId="0" fontId="17" fillId="0" borderId="0" xfId="0" applyFont="1" applyBorder="1" applyProtection="1"/>
    <xf numFmtId="0" fontId="18" fillId="0" borderId="0" xfId="0" applyFont="1" applyFill="1" applyBorder="1" applyProtection="1"/>
    <xf numFmtId="0" fontId="17" fillId="0" borderId="0" xfId="0" applyFont="1" applyProtection="1"/>
    <xf numFmtId="0" fontId="18" fillId="0" borderId="5" xfId="0" applyFont="1" applyFill="1" applyBorder="1" applyAlignment="1" applyProtection="1">
      <alignment horizontal="right"/>
    </xf>
    <xf numFmtId="165" fontId="17" fillId="0" borderId="0" xfId="0" applyNumberFormat="1" applyFont="1" applyFill="1" applyBorder="1" applyProtection="1"/>
    <xf numFmtId="165" fontId="18" fillId="0" borderId="5" xfId="0" applyNumberFormat="1" applyFont="1" applyFill="1" applyBorder="1" applyAlignment="1" applyProtection="1">
      <alignment horizontal="right"/>
    </xf>
    <xf numFmtId="0" fontId="17" fillId="0" borderId="0" xfId="0" applyNumberFormat="1" applyFont="1" applyFill="1" applyBorder="1" applyAlignment="1" applyProtection="1">
      <alignment horizontal="right"/>
    </xf>
    <xf numFmtId="0" fontId="18" fillId="0" borderId="5" xfId="0" applyFont="1" applyBorder="1" applyAlignment="1" applyProtection="1">
      <alignment horizontal="right"/>
    </xf>
    <xf numFmtId="0" fontId="17" fillId="0" borderId="0" xfId="0" applyNumberFormat="1" applyFont="1" applyFill="1" applyBorder="1" applyProtection="1"/>
    <xf numFmtId="49" fontId="17" fillId="0" borderId="0" xfId="0" applyNumberFormat="1" applyFont="1" applyFill="1" applyBorder="1" applyProtection="1"/>
    <xf numFmtId="0" fontId="17" fillId="0" borderId="7" xfId="0" applyFont="1" applyBorder="1" applyProtection="1"/>
    <xf numFmtId="0" fontId="17" fillId="0" borderId="29" xfId="0" applyFont="1" applyFill="1" applyBorder="1" applyProtection="1"/>
    <xf numFmtId="0" fontId="17" fillId="0" borderId="30" xfId="0" applyFont="1" applyFill="1" applyBorder="1" applyProtection="1"/>
    <xf numFmtId="44" fontId="17" fillId="0" borderId="30" xfId="0" applyNumberFormat="1" applyFont="1" applyFill="1" applyBorder="1" applyProtection="1"/>
    <xf numFmtId="44" fontId="19" fillId="0" borderId="30" xfId="0" applyNumberFormat="1" applyFont="1" applyFill="1" applyBorder="1" applyProtection="1"/>
    <xf numFmtId="0" fontId="17" fillId="0" borderId="30" xfId="0" applyFont="1" applyBorder="1" applyProtection="1"/>
    <xf numFmtId="0" fontId="17" fillId="0" borderId="31" xfId="0" applyFont="1" applyBorder="1" applyProtection="1"/>
    <xf numFmtId="44" fontId="17" fillId="0" borderId="0" xfId="0" applyNumberFormat="1" applyFont="1" applyFill="1" applyBorder="1" applyProtection="1"/>
    <xf numFmtId="0" fontId="17" fillId="0" borderId="5" xfId="0" applyFont="1" applyBorder="1" applyProtection="1"/>
    <xf numFmtId="10" fontId="17" fillId="0" borderId="0" xfId="0" applyNumberFormat="1" applyFont="1" applyFill="1" applyBorder="1" applyProtection="1"/>
    <xf numFmtId="9" fontId="17" fillId="0" borderId="0" xfId="3" applyFont="1" applyFill="1" applyBorder="1" applyAlignment="1" applyProtection="1">
      <alignment horizontal="center"/>
    </xf>
    <xf numFmtId="9" fontId="17" fillId="0" borderId="0" xfId="0" quotePrefix="1" applyNumberFormat="1" applyFont="1" applyFill="1" applyAlignment="1"/>
    <xf numFmtId="9" fontId="17" fillId="0" borderId="0" xfId="3" applyFont="1" applyFill="1" applyBorder="1" applyProtection="1"/>
    <xf numFmtId="0" fontId="3" fillId="0" borderId="0" xfId="0" applyFont="1" applyFill="1" applyBorder="1" applyAlignment="1" applyProtection="1">
      <alignment horizontal="right"/>
    </xf>
    <xf numFmtId="0" fontId="17" fillId="0" borderId="0" xfId="0" applyFont="1" applyFill="1" applyBorder="1" applyAlignment="1" applyProtection="1">
      <alignment horizontal="left"/>
    </xf>
    <xf numFmtId="0" fontId="20" fillId="0" borderId="0" xfId="0" applyFont="1" applyFill="1" applyBorder="1" applyProtection="1"/>
    <xf numFmtId="44" fontId="21" fillId="0" borderId="0" xfId="0" applyNumberFormat="1" applyFont="1" applyFill="1" applyBorder="1" applyAlignment="1" applyProtection="1">
      <alignment horizontal="center"/>
    </xf>
    <xf numFmtId="0" fontId="18" fillId="0" borderId="1" xfId="0" applyFont="1" applyFill="1" applyBorder="1" applyProtection="1"/>
    <xf numFmtId="0" fontId="20" fillId="0" borderId="2" xfId="0" applyFont="1" applyFill="1" applyBorder="1" applyProtection="1"/>
    <xf numFmtId="0" fontId="17" fillId="0" borderId="0" xfId="0" applyNumberFormat="1" applyFont="1" applyBorder="1" applyAlignment="1"/>
    <xf numFmtId="0" fontId="20" fillId="0" borderId="33" xfId="0" applyFont="1" applyFill="1" applyBorder="1" applyProtection="1"/>
    <xf numFmtId="0" fontId="20" fillId="0" borderId="34" xfId="0" applyFont="1" applyFill="1" applyBorder="1" applyProtection="1"/>
    <xf numFmtId="0" fontId="17" fillId="0" borderId="34" xfId="0" applyFont="1" applyBorder="1" applyProtection="1"/>
    <xf numFmtId="0" fontId="17" fillId="0" borderId="34" xfId="0" applyFont="1" applyFill="1" applyBorder="1" applyProtection="1"/>
    <xf numFmtId="0" fontId="17" fillId="0" borderId="36" xfId="0" applyNumberFormat="1" applyFont="1" applyBorder="1" applyAlignment="1">
      <alignment horizontal="left"/>
    </xf>
    <xf numFmtId="0" fontId="17" fillId="0" borderId="18" xfId="0" applyNumberFormat="1" applyFont="1" applyBorder="1" applyAlignment="1">
      <alignment horizontal="left"/>
    </xf>
    <xf numFmtId="0" fontId="20" fillId="0" borderId="18" xfId="0" applyFont="1" applyFill="1" applyBorder="1" applyProtection="1"/>
    <xf numFmtId="44" fontId="21" fillId="0" borderId="18" xfId="0" applyNumberFormat="1" applyFont="1" applyFill="1" applyBorder="1" applyAlignment="1" applyProtection="1">
      <alignment horizontal="center"/>
    </xf>
    <xf numFmtId="0" fontId="17" fillId="0" borderId="18" xfId="0" applyFont="1" applyBorder="1" applyProtection="1"/>
    <xf numFmtId="0" fontId="17" fillId="0" borderId="19" xfId="0" applyFont="1" applyFill="1" applyBorder="1" applyAlignment="1" applyProtection="1">
      <alignment horizontal="right"/>
    </xf>
    <xf numFmtId="0" fontId="17" fillId="0" borderId="14" xfId="0" applyNumberFormat="1" applyFont="1" applyBorder="1" applyAlignment="1">
      <alignment horizontal="left"/>
    </xf>
    <xf numFmtId="0" fontId="17" fillId="0" borderId="0" xfId="0" applyNumberFormat="1" applyFont="1" applyBorder="1" applyAlignment="1">
      <alignment horizontal="left"/>
    </xf>
    <xf numFmtId="0" fontId="17" fillId="0" borderId="21" xfId="0" applyFont="1" applyFill="1" applyBorder="1" applyProtection="1"/>
    <xf numFmtId="0" fontId="3" fillId="0" borderId="0" xfId="0" applyFont="1" applyBorder="1" applyProtection="1"/>
    <xf numFmtId="0" fontId="3" fillId="0" borderId="5" xfId="0" applyFont="1" applyBorder="1" applyProtection="1"/>
    <xf numFmtId="44" fontId="17" fillId="0" borderId="0" xfId="0" applyNumberFormat="1" applyFont="1" applyFill="1" applyBorder="1" applyAlignment="1" applyProtection="1">
      <alignment horizontal="center"/>
    </xf>
    <xf numFmtId="44" fontId="17" fillId="0" borderId="21" xfId="0" applyNumberFormat="1" applyFont="1" applyFill="1" applyBorder="1" applyAlignment="1" applyProtection="1">
      <alignment horizontal="center"/>
    </xf>
    <xf numFmtId="44" fontId="19" fillId="0" borderId="0" xfId="0" applyNumberFormat="1" applyFont="1" applyFill="1" applyBorder="1" applyAlignment="1" applyProtection="1">
      <alignment horizontal="center"/>
    </xf>
    <xf numFmtId="0" fontId="17" fillId="0" borderId="37" xfId="0" applyNumberFormat="1" applyFont="1" applyBorder="1" applyAlignment="1">
      <alignment horizontal="left"/>
    </xf>
    <xf numFmtId="0" fontId="17" fillId="0" borderId="38" xfId="0" applyFont="1" applyFill="1" applyBorder="1" applyProtection="1"/>
    <xf numFmtId="44" fontId="19" fillId="0" borderId="38" xfId="0" applyNumberFormat="1" applyFont="1" applyFill="1" applyBorder="1" applyAlignment="1" applyProtection="1">
      <alignment horizontal="center"/>
    </xf>
    <xf numFmtId="0" fontId="17" fillId="0" borderId="38" xfId="0" applyFont="1" applyBorder="1" applyProtection="1"/>
    <xf numFmtId="0" fontId="17" fillId="0" borderId="39" xfId="0" applyFont="1" applyFill="1" applyBorder="1" applyProtection="1"/>
    <xf numFmtId="0" fontId="18" fillId="0" borderId="33" xfId="0" applyNumberFormat="1" applyFont="1" applyBorder="1" applyAlignment="1">
      <alignment horizontal="left"/>
    </xf>
    <xf numFmtId="0" fontId="18" fillId="0" borderId="34" xfId="0" applyNumberFormat="1" applyFont="1" applyBorder="1" applyAlignment="1">
      <alignment horizontal="left"/>
    </xf>
    <xf numFmtId="44" fontId="21" fillId="0" borderId="34" xfId="0" applyNumberFormat="1" applyFont="1" applyFill="1" applyBorder="1" applyAlignment="1" applyProtection="1">
      <alignment horizontal="center"/>
    </xf>
    <xf numFmtId="0" fontId="18" fillId="0" borderId="34" xfId="0" applyFont="1" applyBorder="1" applyProtection="1"/>
    <xf numFmtId="0" fontId="18" fillId="0" borderId="0" xfId="0" applyFont="1" applyFill="1" applyBorder="1" applyAlignment="1" applyProtection="1"/>
    <xf numFmtId="0" fontId="22" fillId="0" borderId="7" xfId="0" applyFont="1" applyFill="1" applyBorder="1" applyProtection="1"/>
    <xf numFmtId="0" fontId="22" fillId="0" borderId="0" xfId="0" applyFont="1" applyBorder="1" applyProtection="1"/>
    <xf numFmtId="0" fontId="22" fillId="0" borderId="5" xfId="0" applyFont="1" applyBorder="1" applyProtection="1"/>
    <xf numFmtId="0" fontId="22" fillId="0" borderId="0" xfId="0" applyFont="1" applyProtection="1"/>
    <xf numFmtId="0" fontId="17" fillId="0" borderId="6" xfId="0" applyFont="1" applyFill="1" applyBorder="1" applyProtection="1"/>
    <xf numFmtId="0" fontId="17" fillId="0" borderId="6" xfId="0" applyFont="1" applyBorder="1" applyProtection="1"/>
    <xf numFmtId="0" fontId="18" fillId="0" borderId="6" xfId="0" applyFont="1" applyFill="1" applyBorder="1" applyAlignment="1" applyProtection="1"/>
    <xf numFmtId="0" fontId="17" fillId="0" borderId="40" xfId="0" applyFont="1" applyFill="1" applyBorder="1" applyProtection="1"/>
    <xf numFmtId="0" fontId="17" fillId="0" borderId="41" xfId="0" applyFont="1" applyBorder="1" applyProtection="1"/>
    <xf numFmtId="0" fontId="11" fillId="0" borderId="42" xfId="0" applyFont="1" applyFill="1" applyBorder="1" applyAlignment="1" applyProtection="1">
      <alignment horizontal="center"/>
    </xf>
    <xf numFmtId="0" fontId="11" fillId="0" borderId="8" xfId="0" applyFont="1" applyFill="1" applyBorder="1" applyAlignment="1" applyProtection="1">
      <alignment horizontal="center"/>
    </xf>
    <xf numFmtId="1" fontId="6" fillId="0" borderId="8" xfId="0" applyNumberFormat="1" applyFont="1" applyFill="1" applyBorder="1" applyAlignment="1" applyProtection="1">
      <alignment horizontal="right"/>
    </xf>
    <xf numFmtId="44" fontId="6" fillId="0" borderId="8" xfId="2" applyFont="1" applyFill="1" applyBorder="1" applyProtection="1"/>
    <xf numFmtId="0" fontId="14" fillId="0" borderId="0" xfId="0" applyFont="1" applyFill="1" applyProtection="1"/>
    <xf numFmtId="44" fontId="6" fillId="0" borderId="43" xfId="0" applyNumberFormat="1" applyFont="1" applyFill="1" applyBorder="1" applyProtection="1"/>
    <xf numFmtId="49" fontId="6" fillId="0" borderId="8" xfId="0" applyNumberFormat="1" applyFont="1" applyFill="1" applyBorder="1" applyProtection="1"/>
    <xf numFmtId="0" fontId="5" fillId="0" borderId="8" xfId="0" applyFont="1" applyFill="1" applyBorder="1" applyAlignment="1" applyProtection="1"/>
    <xf numFmtId="164" fontId="5" fillId="0" borderId="0" xfId="1" applyNumberFormat="1" applyFont="1" applyFill="1" applyBorder="1" applyAlignment="1" applyProtection="1">
      <alignment horizontal="center"/>
      <protection locked="0"/>
    </xf>
    <xf numFmtId="164" fontId="5" fillId="0" borderId="1" xfId="1" applyNumberFormat="1" applyFont="1" applyFill="1" applyBorder="1" applyAlignment="1" applyProtection="1">
      <alignment horizontal="center"/>
      <protection locked="0"/>
    </xf>
    <xf numFmtId="164" fontId="5" fillId="0" borderId="32" xfId="1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Protection="1"/>
    <xf numFmtId="0" fontId="6" fillId="0" borderId="38" xfId="0" applyFont="1" applyFill="1" applyBorder="1" applyProtection="1"/>
    <xf numFmtId="0" fontId="11" fillId="0" borderId="0" xfId="0" applyFont="1" applyFill="1" applyProtection="1"/>
    <xf numFmtId="0" fontId="24" fillId="0" borderId="0" xfId="4" applyNumberFormat="1" applyFont="1" applyAlignment="1">
      <alignment horizontal="centerContinuous"/>
    </xf>
    <xf numFmtId="0" fontId="23" fillId="0" borderId="0" xfId="4" applyNumberFormat="1" applyFont="1" applyAlignment="1">
      <alignment horizontal="centerContinuous"/>
    </xf>
    <xf numFmtId="15" fontId="23" fillId="0" borderId="0" xfId="4" applyNumberFormat="1" applyFont="1" applyAlignment="1"/>
    <xf numFmtId="0" fontId="23" fillId="0" borderId="0" xfId="4" applyNumberFormat="1" applyFont="1" applyAlignment="1"/>
    <xf numFmtId="0" fontId="25" fillId="0" borderId="0" xfId="4" applyNumberFormat="1" applyFont="1" applyFill="1" applyAlignment="1" applyProtection="1">
      <alignment horizontal="centerContinuous"/>
      <protection locked="0"/>
    </xf>
    <xf numFmtId="0" fontId="24" fillId="0" borderId="0" xfId="4" applyNumberFormat="1" applyFont="1" applyFill="1" applyAlignment="1">
      <alignment horizontal="centerContinuous"/>
    </xf>
    <xf numFmtId="0" fontId="23" fillId="0" borderId="0" xfId="4" applyNumberFormat="1" applyFont="1" applyFill="1" applyAlignment="1">
      <alignment horizontal="centerContinuous"/>
    </xf>
    <xf numFmtId="4" fontId="24" fillId="0" borderId="0" xfId="4" applyNumberFormat="1" applyFont="1" applyFill="1" applyAlignment="1" applyProtection="1">
      <alignment horizontal="centerContinuous"/>
      <protection locked="0"/>
    </xf>
    <xf numFmtId="0" fontId="23" fillId="0" borderId="0" xfId="4" quotePrefix="1" applyNumberFormat="1" applyFont="1" applyFill="1" applyAlignment="1">
      <alignment horizontal="right"/>
    </xf>
    <xf numFmtId="0" fontId="23" fillId="0" borderId="0" xfId="4" applyNumberFormat="1" applyFont="1" applyFill="1" applyAlignment="1"/>
    <xf numFmtId="0" fontId="8" fillId="0" borderId="0" xfId="4" applyNumberFormat="1" applyFont="1" applyFill="1" applyAlignment="1"/>
    <xf numFmtId="0" fontId="8" fillId="0" borderId="0" xfId="4" applyNumberFormat="1" applyFont="1" applyFill="1" applyAlignment="1">
      <alignment horizontal="center"/>
    </xf>
    <xf numFmtId="0" fontId="26" fillId="0" borderId="0" xfId="4" applyNumberFormat="1" applyFont="1" applyAlignment="1" applyProtection="1">
      <alignment horizontal="centerContinuous"/>
      <protection locked="0"/>
    </xf>
    <xf numFmtId="0" fontId="27" fillId="0" borderId="0" xfId="4" applyNumberFormat="1" applyFont="1" applyFill="1" applyBorder="1" applyAlignment="1">
      <alignment horizontal="center"/>
    </xf>
    <xf numFmtId="0" fontId="26" fillId="0" borderId="0" xfId="4" applyNumberFormat="1" applyFont="1" applyAlignment="1">
      <alignment horizontal="center" wrapText="1"/>
    </xf>
    <xf numFmtId="0" fontId="26" fillId="0" borderId="0" xfId="4" applyNumberFormat="1" applyFont="1" applyAlignment="1">
      <alignment horizontal="left"/>
    </xf>
    <xf numFmtId="0" fontId="26" fillId="0" borderId="0" xfId="4" applyNumberFormat="1" applyFont="1" applyAlignment="1">
      <alignment horizontal="centerContinuous"/>
    </xf>
    <xf numFmtId="0" fontId="26" fillId="0" borderId="0" xfId="4" applyNumberFormat="1" applyFont="1" applyAlignment="1"/>
    <xf numFmtId="0" fontId="26" fillId="0" borderId="0" xfId="4" applyNumberFormat="1" applyFont="1" applyAlignment="1">
      <alignment horizontal="center"/>
    </xf>
    <xf numFmtId="14" fontId="8" fillId="0" borderId="16" xfId="4" applyNumberFormat="1" applyFont="1" applyBorder="1" applyAlignment="1" applyProtection="1">
      <protection locked="0"/>
    </xf>
    <xf numFmtId="4" fontId="8" fillId="0" borderId="44" xfId="4" applyNumberFormat="1" applyFont="1" applyBorder="1" applyAlignment="1" applyProtection="1">
      <alignment horizontal="center"/>
      <protection locked="0"/>
    </xf>
    <xf numFmtId="4" fontId="8" fillId="0" borderId="45" xfId="4" applyNumberFormat="1" applyFont="1" applyBorder="1" applyAlignment="1" applyProtection="1">
      <alignment horizontal="center"/>
      <protection locked="0"/>
    </xf>
    <xf numFmtId="4" fontId="8" fillId="0" borderId="46" xfId="4" applyNumberFormat="1" applyFont="1" applyBorder="1" applyAlignment="1" applyProtection="1">
      <alignment horizontal="center"/>
      <protection locked="0"/>
    </xf>
    <xf numFmtId="4" fontId="8" fillId="0" borderId="47" xfId="4" applyNumberFormat="1" applyFont="1" applyBorder="1" applyAlignment="1"/>
    <xf numFmtId="0" fontId="23" fillId="0" borderId="0" xfId="4" applyNumberFormat="1" applyFont="1" applyBorder="1" applyAlignment="1"/>
    <xf numFmtId="14" fontId="8" fillId="0" borderId="20" xfId="4" applyNumberFormat="1" applyFont="1" applyBorder="1" applyAlignment="1" applyProtection="1">
      <protection locked="0"/>
    </xf>
    <xf numFmtId="4" fontId="8" fillId="0" borderId="24" xfId="4" applyNumberFormat="1" applyFont="1" applyBorder="1" applyAlignment="1" applyProtection="1">
      <alignment horizontal="center"/>
      <protection locked="0"/>
    </xf>
    <xf numFmtId="4" fontId="8" fillId="0" borderId="8" xfId="4" applyNumberFormat="1" applyFont="1" applyBorder="1" applyAlignment="1" applyProtection="1">
      <alignment horizontal="center"/>
      <protection locked="0"/>
    </xf>
    <xf numFmtId="4" fontId="8" fillId="0" borderId="9" xfId="4" applyNumberFormat="1" applyFont="1" applyBorder="1" applyAlignment="1" applyProtection="1">
      <alignment horizontal="center"/>
      <protection locked="0"/>
    </xf>
    <xf numFmtId="4" fontId="8" fillId="0" borderId="48" xfId="4" applyNumberFormat="1" applyFont="1" applyBorder="1" applyAlignment="1"/>
    <xf numFmtId="4" fontId="8" fillId="0" borderId="24" xfId="4" quotePrefix="1" applyNumberFormat="1" applyFont="1" applyBorder="1" applyAlignment="1" applyProtection="1">
      <alignment horizontal="center"/>
      <protection locked="0"/>
    </xf>
    <xf numFmtId="4" fontId="8" fillId="0" borderId="20" xfId="4" quotePrefix="1" applyNumberFormat="1" applyFont="1" applyBorder="1" applyAlignment="1" applyProtection="1">
      <alignment horizontal="center"/>
      <protection locked="0"/>
    </xf>
    <xf numFmtId="4" fontId="8" fillId="0" borderId="8" xfId="4" quotePrefix="1" applyNumberFormat="1" applyFont="1" applyBorder="1" applyAlignment="1" applyProtection="1">
      <alignment horizontal="center"/>
      <protection locked="0"/>
    </xf>
    <xf numFmtId="4" fontId="8" fillId="0" borderId="9" xfId="4" quotePrefix="1" applyNumberFormat="1" applyFont="1" applyBorder="1" applyAlignment="1" applyProtection="1">
      <alignment horizontal="center"/>
      <protection locked="0"/>
    </xf>
    <xf numFmtId="4" fontId="8" fillId="0" borderId="37" xfId="4" quotePrefix="1" applyNumberFormat="1" applyFont="1" applyBorder="1" applyAlignment="1" applyProtection="1">
      <alignment horizontal="center"/>
      <protection locked="0"/>
    </xf>
    <xf numFmtId="4" fontId="8" fillId="0" borderId="49" xfId="4" quotePrefix="1" applyNumberFormat="1" applyFont="1" applyBorder="1" applyAlignment="1" applyProtection="1">
      <alignment horizontal="center"/>
      <protection locked="0"/>
    </xf>
    <xf numFmtId="4" fontId="8" fillId="0" borderId="26" xfId="4" quotePrefix="1" applyNumberFormat="1" applyFont="1" applyBorder="1" applyAlignment="1" applyProtection="1">
      <alignment horizontal="center"/>
      <protection locked="0"/>
    </xf>
    <xf numFmtId="4" fontId="8" fillId="0" borderId="27" xfId="4" quotePrefix="1" applyNumberFormat="1" applyFont="1" applyBorder="1" applyAlignment="1" applyProtection="1">
      <alignment horizontal="center"/>
      <protection locked="0"/>
    </xf>
    <xf numFmtId="4" fontId="8" fillId="0" borderId="50" xfId="4" applyNumberFormat="1" applyFont="1" applyBorder="1" applyAlignment="1"/>
    <xf numFmtId="0" fontId="8" fillId="0" borderId="51" xfId="4" applyNumberFormat="1" applyFont="1" applyBorder="1" applyAlignment="1"/>
    <xf numFmtId="4" fontId="8" fillId="0" borderId="52" xfId="4" applyNumberFormat="1" applyFont="1" applyBorder="1" applyAlignment="1">
      <alignment horizontal="center"/>
    </xf>
    <xf numFmtId="4" fontId="8" fillId="0" borderId="53" xfId="4" applyNumberFormat="1" applyFont="1" applyBorder="1" applyAlignment="1">
      <alignment horizontal="center"/>
    </xf>
    <xf numFmtId="4" fontId="8" fillId="0" borderId="54" xfId="4" applyNumberFormat="1" applyFont="1" applyBorder="1" applyAlignment="1">
      <alignment horizontal="center"/>
    </xf>
    <xf numFmtId="4" fontId="8" fillId="0" borderId="55" xfId="4" applyNumberFormat="1" applyFont="1" applyBorder="1" applyAlignment="1"/>
    <xf numFmtId="0" fontId="8" fillId="0" borderId="56" xfId="4" applyNumberFormat="1" applyFont="1" applyBorder="1" applyAlignment="1"/>
    <xf numFmtId="4" fontId="8" fillId="0" borderId="57" xfId="4" applyNumberFormat="1" applyFont="1" applyBorder="1" applyAlignment="1" applyProtection="1">
      <alignment horizontal="center"/>
      <protection locked="0"/>
    </xf>
    <xf numFmtId="4" fontId="8" fillId="0" borderId="58" xfId="4" applyNumberFormat="1" applyFont="1" applyBorder="1" applyAlignment="1" applyProtection="1">
      <alignment horizontal="center"/>
      <protection locked="0"/>
    </xf>
    <xf numFmtId="4" fontId="8" fillId="0" borderId="59" xfId="4" applyNumberFormat="1" applyFont="1" applyBorder="1" applyAlignment="1" applyProtection="1">
      <alignment horizontal="center"/>
      <protection locked="0"/>
    </xf>
    <xf numFmtId="4" fontId="8" fillId="0" borderId="60" xfId="4" applyNumberFormat="1" applyFont="1" applyBorder="1" applyAlignment="1"/>
    <xf numFmtId="0" fontId="8" fillId="0" borderId="61" xfId="4" applyNumberFormat="1" applyFont="1" applyBorder="1" applyAlignment="1">
      <alignment horizontal="right"/>
    </xf>
    <xf numFmtId="4" fontId="8" fillId="0" borderId="62" xfId="4" applyNumberFormat="1" applyFont="1" applyBorder="1" applyAlignment="1">
      <alignment horizontal="center"/>
    </xf>
    <xf numFmtId="4" fontId="8" fillId="0" borderId="63" xfId="4" applyNumberFormat="1" applyFont="1" applyBorder="1" applyAlignment="1">
      <alignment horizontal="center"/>
    </xf>
    <xf numFmtId="4" fontId="8" fillId="0" borderId="64" xfId="4" applyNumberFormat="1" applyFont="1" applyBorder="1" applyAlignment="1"/>
    <xf numFmtId="4" fontId="23" fillId="0" borderId="0" xfId="4" applyNumberFormat="1" applyFont="1" applyBorder="1" applyAlignment="1">
      <alignment horizontal="center"/>
    </xf>
    <xf numFmtId="0" fontId="23" fillId="0" borderId="0" xfId="4" applyNumberFormat="1" applyFont="1" applyBorder="1" applyAlignment="1">
      <alignment horizontal="center"/>
    </xf>
    <xf numFmtId="4" fontId="23" fillId="0" borderId="0" xfId="4" applyNumberFormat="1" applyFont="1" applyAlignment="1">
      <alignment horizontal="center"/>
    </xf>
    <xf numFmtId="0" fontId="23" fillId="0" borderId="0" xfId="4" applyNumberFormat="1" applyFont="1" applyAlignment="1">
      <alignment horizontal="center"/>
    </xf>
    <xf numFmtId="0" fontId="23" fillId="0" borderId="0" xfId="4" applyNumberFormat="1" applyFont="1" applyAlignment="1">
      <alignment horizontal="left"/>
    </xf>
    <xf numFmtId="4" fontId="28" fillId="0" borderId="0" xfId="4" applyNumberFormat="1" applyFont="1" applyAlignment="1">
      <alignment horizontal="left"/>
    </xf>
    <xf numFmtId="4" fontId="23" fillId="0" borderId="0" xfId="4" applyNumberFormat="1" applyFont="1" applyAlignment="1"/>
    <xf numFmtId="4" fontId="23" fillId="0" borderId="0" xfId="4" applyNumberFormat="1" applyFont="1" applyAlignment="1">
      <alignment horizontal="left"/>
    </xf>
    <xf numFmtId="4" fontId="23" fillId="0" borderId="6" xfId="4" applyNumberFormat="1" applyFont="1" applyBorder="1" applyAlignment="1">
      <alignment horizontal="left"/>
    </xf>
    <xf numFmtId="0" fontId="23" fillId="0" borderId="6" xfId="4" applyNumberFormat="1" applyFont="1" applyBorder="1" applyAlignment="1">
      <alignment horizontal="left"/>
    </xf>
    <xf numFmtId="0" fontId="23" fillId="0" borderId="6" xfId="4" applyNumberFormat="1" applyFont="1" applyBorder="1" applyAlignment="1">
      <alignment horizontal="center"/>
    </xf>
    <xf numFmtId="4" fontId="29" fillId="0" borderId="6" xfId="4" applyNumberFormat="1" applyFont="1" applyBorder="1" applyAlignment="1"/>
    <xf numFmtId="4" fontId="23" fillId="0" borderId="0" xfId="4" applyNumberFormat="1" applyFont="1" applyBorder="1" applyAlignment="1">
      <alignment horizontal="left"/>
    </xf>
    <xf numFmtId="0" fontId="23" fillId="0" borderId="0" xfId="4" applyNumberFormat="1" applyFont="1" applyBorder="1" applyAlignment="1">
      <alignment horizontal="left"/>
    </xf>
    <xf numFmtId="4" fontId="29" fillId="0" borderId="0" xfId="4" applyNumberFormat="1" applyFont="1" applyBorder="1" applyAlignment="1"/>
    <xf numFmtId="4" fontId="29" fillId="0" borderId="6" xfId="4" applyNumberFormat="1" applyFont="1" applyFill="1" applyBorder="1" applyAlignment="1"/>
    <xf numFmtId="0" fontId="23" fillId="0" borderId="65" xfId="4" applyNumberFormat="1" applyFont="1" applyBorder="1" applyAlignment="1"/>
    <xf numFmtId="4" fontId="29" fillId="0" borderId="0" xfId="4" applyNumberFormat="1" applyFont="1" applyAlignment="1"/>
    <xf numFmtId="0" fontId="30" fillId="0" borderId="66" xfId="4" applyNumberFormat="1" applyFont="1" applyBorder="1" applyAlignment="1"/>
    <xf numFmtId="0" fontId="8" fillId="0" borderId="0" xfId="4" applyNumberFormat="1" applyFont="1" applyAlignment="1"/>
    <xf numFmtId="4" fontId="8" fillId="0" borderId="0" xfId="4" applyNumberFormat="1" applyFont="1" applyBorder="1" applyAlignment="1"/>
    <xf numFmtId="4" fontId="30" fillId="0" borderId="0" xfId="4" applyNumberFormat="1" applyFont="1" applyAlignment="1"/>
    <xf numFmtId="4" fontId="8" fillId="0" borderId="0" xfId="4" applyNumberFormat="1" applyFont="1" applyAlignment="1">
      <alignment horizontal="left"/>
    </xf>
    <xf numFmtId="0" fontId="30" fillId="0" borderId="0" xfId="4" applyNumberFormat="1" applyFont="1" applyAlignment="1"/>
    <xf numFmtId="4" fontId="8" fillId="0" borderId="66" xfId="4" applyNumberFormat="1" applyFont="1" applyBorder="1" applyAlignment="1"/>
    <xf numFmtId="0" fontId="8" fillId="0" borderId="0" xfId="4" applyNumberFormat="1" applyFont="1" applyFill="1" applyBorder="1" applyAlignment="1"/>
    <xf numFmtId="4" fontId="31" fillId="0" borderId="0" xfId="4" applyNumberFormat="1" applyFont="1" applyAlignment="1"/>
    <xf numFmtId="0" fontId="30" fillId="8" borderId="1" xfId="4" applyNumberFormat="1" applyFont="1" applyFill="1" applyBorder="1" applyAlignment="1">
      <alignment horizontal="left"/>
    </xf>
    <xf numFmtId="0" fontId="30" fillId="8" borderId="2" xfId="4" applyNumberFormat="1" applyFont="1" applyFill="1" applyBorder="1" applyAlignment="1">
      <alignment horizontal="left"/>
    </xf>
    <xf numFmtId="0" fontId="30" fillId="8" borderId="2" xfId="4" applyNumberFormat="1" applyFont="1" applyFill="1" applyBorder="1" applyAlignment="1">
      <alignment horizontal="center"/>
    </xf>
    <xf numFmtId="166" fontId="30" fillId="0" borderId="8" xfId="4" applyNumberFormat="1" applyFont="1" applyBorder="1" applyAlignment="1"/>
    <xf numFmtId="0" fontId="30" fillId="0" borderId="0" xfId="4" applyNumberFormat="1" applyFont="1" applyBorder="1" applyAlignment="1">
      <alignment horizontal="left"/>
    </xf>
    <xf numFmtId="0" fontId="23" fillId="0" borderId="6" xfId="4" applyNumberFormat="1" applyFont="1" applyFill="1" applyBorder="1" applyAlignment="1">
      <alignment horizontal="center"/>
    </xf>
    <xf numFmtId="2" fontId="30" fillId="0" borderId="0" xfId="4" applyNumberFormat="1" applyFont="1" applyAlignment="1"/>
    <xf numFmtId="0" fontId="23" fillId="0" borderId="2" xfId="4" applyNumberFormat="1" applyFont="1" applyFill="1" applyBorder="1" applyAlignment="1">
      <alignment horizontal="center"/>
    </xf>
    <xf numFmtId="0" fontId="29" fillId="1" borderId="67" xfId="4" applyNumberFormat="1" applyFont="1" applyFill="1" applyBorder="1" applyAlignment="1">
      <alignment horizontal="left"/>
    </xf>
    <xf numFmtId="0" fontId="29" fillId="1" borderId="68" xfId="4" applyNumberFormat="1" applyFont="1" applyFill="1" applyBorder="1" applyAlignment="1">
      <alignment horizontal="left"/>
    </xf>
    <xf numFmtId="0" fontId="29" fillId="1" borderId="68" xfId="4" applyNumberFormat="1" applyFont="1" applyFill="1" applyBorder="1" applyAlignment="1">
      <alignment horizontal="center"/>
    </xf>
    <xf numFmtId="166" fontId="29" fillId="0" borderId="69" xfId="4" applyNumberFormat="1" applyFont="1" applyBorder="1" applyAlignment="1"/>
    <xf numFmtId="15" fontId="23" fillId="0" borderId="0" xfId="4" applyNumberFormat="1" applyFont="1" applyAlignment="1">
      <alignment horizontal="left"/>
    </xf>
    <xf numFmtId="0" fontId="23" fillId="0" borderId="59" xfId="4" applyNumberFormat="1" applyFont="1" applyBorder="1" applyAlignment="1">
      <alignment horizontal="left"/>
    </xf>
    <xf numFmtId="0" fontId="23" fillId="0" borderId="66" xfId="4" applyNumberFormat="1" applyFont="1" applyBorder="1" applyAlignment="1">
      <alignment horizontal="left"/>
    </xf>
    <xf numFmtId="0" fontId="23" fillId="0" borderId="66" xfId="4" applyNumberFormat="1" applyFont="1" applyBorder="1" applyAlignment="1">
      <alignment horizontal="center"/>
    </xf>
    <xf numFmtId="0" fontId="23" fillId="0" borderId="70" xfId="4" applyNumberFormat="1" applyFont="1" applyBorder="1" applyAlignment="1"/>
    <xf numFmtId="0" fontId="23" fillId="0" borderId="70" xfId="4" applyNumberFormat="1" applyFont="1" applyBorder="1" applyAlignment="1">
      <alignment horizontal="left"/>
    </xf>
    <xf numFmtId="2" fontId="23" fillId="0" borderId="0" xfId="4" applyNumberFormat="1" applyFont="1" applyAlignment="1"/>
    <xf numFmtId="4" fontId="23" fillId="0" borderId="70" xfId="4" applyNumberFormat="1" applyFont="1" applyBorder="1" applyAlignment="1"/>
    <xf numFmtId="0" fontId="23" fillId="0" borderId="66" xfId="4" applyNumberFormat="1" applyFont="1" applyBorder="1" applyAlignment="1"/>
    <xf numFmtId="43" fontId="0" fillId="2" borderId="0" xfId="1" applyFont="1" applyFill="1"/>
    <xf numFmtId="14" fontId="0" fillId="0" borderId="0" xfId="0" applyNumberFormat="1"/>
    <xf numFmtId="0" fontId="0" fillId="0" borderId="0" xfId="0" applyAlignment="1">
      <alignment wrapText="1"/>
    </xf>
    <xf numFmtId="43" fontId="0" fillId="0" borderId="0" xfId="1" applyFont="1" applyAlignment="1">
      <alignment wrapText="1"/>
    </xf>
    <xf numFmtId="43" fontId="0" fillId="0" borderId="0" xfId="1" applyFont="1" applyFill="1"/>
    <xf numFmtId="44" fontId="6" fillId="0" borderId="0" xfId="0" applyNumberFormat="1" applyFont="1" applyFill="1" applyProtection="1"/>
    <xf numFmtId="44" fontId="19" fillId="0" borderId="0" xfId="0" applyNumberFormat="1" applyFont="1" applyFill="1" applyBorder="1" applyAlignment="1" applyProtection="1">
      <alignment horizontal="center"/>
    </xf>
    <xf numFmtId="44" fontId="17" fillId="0" borderId="0" xfId="0" applyNumberFormat="1" applyFont="1" applyFill="1" applyBorder="1" applyAlignment="1" applyProtection="1">
      <alignment horizontal="center"/>
      <protection locked="0"/>
    </xf>
    <xf numFmtId="44" fontId="19" fillId="0" borderId="0" xfId="2" applyFont="1" applyFill="1" applyBorder="1" applyAlignment="1" applyProtection="1">
      <alignment horizontal="center"/>
      <protection locked="0"/>
    </xf>
    <xf numFmtId="14" fontId="4" fillId="0" borderId="2" xfId="0" applyNumberFormat="1" applyFont="1" applyFill="1" applyBorder="1" applyAlignment="1" applyProtection="1">
      <alignment horizontal="left"/>
    </xf>
    <xf numFmtId="0" fontId="11" fillId="0" borderId="8" xfId="0" applyFont="1" applyFill="1" applyBorder="1" applyAlignment="1" applyProtection="1">
      <alignment horizontal="center"/>
    </xf>
    <xf numFmtId="165" fontId="13" fillId="0" borderId="2" xfId="0" applyNumberFormat="1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right"/>
    </xf>
    <xf numFmtId="0" fontId="18" fillId="0" borderId="5" xfId="0" applyFont="1" applyFill="1" applyBorder="1" applyAlignment="1" applyProtection="1">
      <alignment horizontal="right"/>
    </xf>
    <xf numFmtId="44" fontId="21" fillId="0" borderId="0" xfId="0" applyNumberFormat="1" applyFont="1" applyFill="1" applyBorder="1" applyAlignment="1" applyProtection="1">
      <alignment horizontal="center"/>
    </xf>
    <xf numFmtId="44" fontId="15" fillId="0" borderId="2" xfId="0" quotePrefix="1" applyNumberFormat="1" applyFont="1" applyFill="1" applyBorder="1" applyAlignment="1" applyProtection="1">
      <alignment horizontal="center"/>
    </xf>
    <xf numFmtId="44" fontId="15" fillId="0" borderId="32" xfId="0" applyNumberFormat="1" applyFont="1" applyFill="1" applyBorder="1" applyAlignment="1" applyProtection="1">
      <alignment horizontal="center"/>
    </xf>
    <xf numFmtId="44" fontId="18" fillId="0" borderId="34" xfId="0" quotePrefix="1" applyNumberFormat="1" applyFont="1" applyFill="1" applyBorder="1" applyAlignment="1" applyProtection="1">
      <alignment horizontal="right"/>
    </xf>
    <xf numFmtId="44" fontId="18" fillId="0" borderId="35" xfId="0" applyNumberFormat="1" applyFont="1" applyFill="1" applyBorder="1" applyAlignment="1" applyProtection="1">
      <alignment horizontal="right"/>
    </xf>
    <xf numFmtId="44" fontId="17" fillId="7" borderId="0" xfId="0" quotePrefix="1" applyNumberFormat="1" applyFont="1" applyFill="1" applyBorder="1" applyAlignment="1" applyProtection="1">
      <alignment horizontal="center"/>
    </xf>
    <xf numFmtId="44" fontId="17" fillId="7" borderId="21" xfId="0" applyNumberFormat="1" applyFont="1" applyFill="1" applyBorder="1" applyAlignment="1" applyProtection="1">
      <alignment horizontal="center"/>
    </xf>
    <xf numFmtId="44" fontId="19" fillId="0" borderId="0" xfId="2" applyFont="1" applyFill="1" applyBorder="1" applyAlignment="1" applyProtection="1">
      <alignment horizontal="center"/>
    </xf>
    <xf numFmtId="44" fontId="17" fillId="0" borderId="0" xfId="0" applyNumberFormat="1" applyFont="1" applyFill="1" applyBorder="1" applyAlignment="1" applyProtection="1">
      <alignment horizontal="center"/>
    </xf>
    <xf numFmtId="0" fontId="6" fillId="0" borderId="8" xfId="0" applyFont="1" applyFill="1" applyBorder="1" applyAlignment="1" applyProtection="1">
      <alignment horizontal="center"/>
    </xf>
    <xf numFmtId="14" fontId="6" fillId="0" borderId="8" xfId="0" applyNumberFormat="1" applyFont="1" applyFill="1" applyBorder="1" applyAlignment="1" applyProtection="1">
      <alignment horizontal="center"/>
    </xf>
    <xf numFmtId="14" fontId="6" fillId="0" borderId="10" xfId="0" applyNumberFormat="1" applyFont="1" applyFill="1" applyBorder="1" applyAlignment="1" applyProtection="1">
      <alignment horizontal="center"/>
    </xf>
    <xf numFmtId="0" fontId="5" fillId="0" borderId="40" xfId="0" applyFont="1" applyFill="1" applyBorder="1" applyAlignment="1" applyProtection="1">
      <alignment horizontal="center"/>
    </xf>
    <xf numFmtId="0" fontId="5" fillId="0" borderId="41" xfId="0" applyFont="1" applyFill="1" applyBorder="1" applyAlignment="1" applyProtection="1">
      <alignment horizontal="center"/>
    </xf>
    <xf numFmtId="0" fontId="5" fillId="0" borderId="8" xfId="0" applyFont="1" applyFill="1" applyBorder="1" applyAlignment="1" applyProtection="1">
      <alignment horizontal="center"/>
    </xf>
    <xf numFmtId="164" fontId="5" fillId="0" borderId="1" xfId="1" applyNumberFormat="1" applyFont="1" applyFill="1" applyBorder="1" applyAlignment="1" applyProtection="1">
      <alignment horizontal="center"/>
      <protection locked="0"/>
    </xf>
    <xf numFmtId="164" fontId="5" fillId="0" borderId="32" xfId="1" applyNumberFormat="1" applyFont="1" applyFill="1" applyBorder="1" applyAlignment="1" applyProtection="1">
      <alignment horizontal="center"/>
      <protection locked="0"/>
    </xf>
    <xf numFmtId="44" fontId="17" fillId="0" borderId="21" xfId="0" applyNumberFormat="1" applyFont="1" applyFill="1" applyBorder="1" applyAlignment="1" applyProtection="1">
      <alignment horizontal="center"/>
    </xf>
    <xf numFmtId="44" fontId="18" fillId="0" borderId="34" xfId="0" applyNumberFormat="1" applyFont="1" applyFill="1" applyBorder="1" applyAlignment="1" applyProtection="1">
      <alignment horizontal="center"/>
    </xf>
    <xf numFmtId="44" fontId="18" fillId="0" borderId="35" xfId="0" applyNumberFormat="1" applyFont="1" applyFill="1" applyBorder="1" applyAlignment="1" applyProtection="1">
      <alignment horizontal="center"/>
    </xf>
    <xf numFmtId="49" fontId="6" fillId="0" borderId="8" xfId="0" applyNumberFormat="1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0" fontId="5" fillId="0" borderId="32" xfId="0" applyFont="1" applyFill="1" applyBorder="1" applyAlignment="1" applyProtection="1">
      <alignment horizontal="center"/>
    </xf>
    <xf numFmtId="0" fontId="24" fillId="0" borderId="0" xfId="4" applyNumberFormat="1" applyFont="1" applyFill="1" applyAlignment="1">
      <alignment horizontal="center"/>
    </xf>
    <xf numFmtId="0" fontId="23" fillId="0" borderId="0" xfId="4" applyNumberFormat="1" applyFont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3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0</xdr:row>
          <xdr:rowOff>57150</xdr:rowOff>
        </xdr:from>
        <xdr:to>
          <xdr:col>4</xdr:col>
          <xdr:colOff>361950</xdr:colOff>
          <xdr:row>0</xdr:row>
          <xdr:rowOff>161925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Print Final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0</xdr:row>
          <xdr:rowOff>133350</xdr:rowOff>
        </xdr:from>
        <xdr:to>
          <xdr:col>5</xdr:col>
          <xdr:colOff>666750</xdr:colOff>
          <xdr:row>1</xdr:row>
          <xdr:rowOff>28575</xdr:rowOff>
        </xdr:to>
        <xdr:sp macro="" textlink="">
          <xdr:nvSpPr>
            <xdr:cNvPr id="4098" name="Button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Reload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1</xdr:row>
          <xdr:rowOff>114300</xdr:rowOff>
        </xdr:from>
        <xdr:to>
          <xdr:col>5</xdr:col>
          <xdr:colOff>838200</xdr:colOff>
          <xdr:row>2</xdr:row>
          <xdr:rowOff>9525</xdr:rowOff>
        </xdr:to>
        <xdr:sp macro="" textlink="">
          <xdr:nvSpPr>
            <xdr:cNvPr id="4099" name="Button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Standsheet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14"/>
  <sheetViews>
    <sheetView tabSelected="1" workbookViewId="0">
      <selection activeCell="B19" sqref="B19"/>
    </sheetView>
  </sheetViews>
  <sheetFormatPr defaultRowHeight="15" x14ac:dyDescent="0.25"/>
  <cols>
    <col min="1" max="1" width="24.140625" customWidth="1"/>
    <col min="2" max="2" width="13.28515625" customWidth="1"/>
    <col min="3" max="3" width="8.140625" style="5" bestFit="1" customWidth="1"/>
  </cols>
  <sheetData>
    <row r="1" spans="1:3" x14ac:dyDescent="0.25">
      <c r="A1" t="s">
        <v>36</v>
      </c>
      <c r="B1" s="5" t="s">
        <v>59</v>
      </c>
      <c r="C1" s="5" t="s">
        <v>424</v>
      </c>
    </row>
    <row r="2" spans="1:3" x14ac:dyDescent="0.25">
      <c r="A2" t="s">
        <v>480</v>
      </c>
      <c r="B2" s="5"/>
      <c r="C2" s="5">
        <v>131.26</v>
      </c>
    </row>
    <row r="3" spans="1:3" x14ac:dyDescent="0.25">
      <c r="A3" s="5" t="s">
        <v>511</v>
      </c>
      <c r="C3" s="5">
        <v>35</v>
      </c>
    </row>
    <row r="4" spans="1:3" x14ac:dyDescent="0.25">
      <c r="A4" t="s">
        <v>489</v>
      </c>
      <c r="B4" s="5" t="s">
        <v>509</v>
      </c>
      <c r="C4" s="5">
        <v>451.44</v>
      </c>
    </row>
    <row r="5" spans="1:3" x14ac:dyDescent="0.25">
      <c r="A5" t="s">
        <v>39</v>
      </c>
      <c r="B5" s="5" t="s">
        <v>509</v>
      </c>
      <c r="C5" s="5">
        <v>349.46</v>
      </c>
    </row>
    <row r="6" spans="1:3" x14ac:dyDescent="0.25">
      <c r="A6" t="s">
        <v>503</v>
      </c>
      <c r="B6" s="5" t="s">
        <v>509</v>
      </c>
      <c r="C6" s="5">
        <v>191.22</v>
      </c>
    </row>
    <row r="7" spans="1:3" x14ac:dyDescent="0.25">
      <c r="A7" t="s">
        <v>490</v>
      </c>
      <c r="B7" s="5" t="s">
        <v>510</v>
      </c>
      <c r="C7" s="5">
        <v>150.47999999999999</v>
      </c>
    </row>
    <row r="8" spans="1:3" x14ac:dyDescent="0.25">
      <c r="A8" t="s">
        <v>500</v>
      </c>
      <c r="B8" s="5" t="s">
        <v>510</v>
      </c>
      <c r="C8" s="5">
        <v>176.76</v>
      </c>
    </row>
    <row r="9" spans="1:3" x14ac:dyDescent="0.25">
      <c r="A9" t="s">
        <v>502</v>
      </c>
      <c r="B9" s="5" t="s">
        <v>510</v>
      </c>
      <c r="C9" s="5">
        <v>102.56</v>
      </c>
    </row>
    <row r="10" spans="1:3" x14ac:dyDescent="0.25">
      <c r="A10" t="s">
        <v>37</v>
      </c>
      <c r="B10" s="5" t="s">
        <v>510</v>
      </c>
      <c r="C10" s="5">
        <v>150.47999999999999</v>
      </c>
    </row>
    <row r="11" spans="1:3" x14ac:dyDescent="0.25">
      <c r="A11" t="s">
        <v>501</v>
      </c>
      <c r="B11" s="5" t="s">
        <v>510</v>
      </c>
      <c r="C11" s="5">
        <v>67.14</v>
      </c>
    </row>
    <row r="12" spans="1:3" x14ac:dyDescent="0.25">
      <c r="A12" t="s">
        <v>496</v>
      </c>
      <c r="B12" s="5" t="s">
        <v>508</v>
      </c>
      <c r="C12" s="5">
        <v>200.48</v>
      </c>
    </row>
    <row r="13" spans="1:3" x14ac:dyDescent="0.25">
      <c r="A13" t="s">
        <v>56</v>
      </c>
      <c r="B13" s="5" t="s">
        <v>508</v>
      </c>
      <c r="C13" s="5">
        <v>150.47999999999999</v>
      </c>
    </row>
    <row r="14" spans="1:3" x14ac:dyDescent="0.25">
      <c r="C14" s="5">
        <f>SUM(C1:C13)</f>
        <v>2156.7600000000002</v>
      </c>
    </row>
  </sheetData>
  <sortState ref="A2:C14">
    <sortCondition ref="B2:B14"/>
    <sortCondition ref="A2:A1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E7"/>
  <sheetViews>
    <sheetView workbookViewId="0">
      <selection activeCell="C7" sqref="C7"/>
    </sheetView>
  </sheetViews>
  <sheetFormatPr defaultRowHeight="15" x14ac:dyDescent="0.25"/>
  <cols>
    <col min="1" max="1" width="20.5703125" bestFit="1" customWidth="1"/>
    <col min="2" max="3" width="9.140625" style="3"/>
    <col min="4" max="4" width="17.5703125" style="5" bestFit="1" customWidth="1"/>
    <col min="5" max="5" width="31.7109375" bestFit="1" customWidth="1"/>
  </cols>
  <sheetData>
    <row r="1" spans="1:5" x14ac:dyDescent="0.25">
      <c r="A1" t="s">
        <v>36</v>
      </c>
      <c r="B1" s="3" t="s">
        <v>54</v>
      </c>
      <c r="C1" s="3" t="s">
        <v>55</v>
      </c>
      <c r="D1" s="5" t="s">
        <v>57</v>
      </c>
      <c r="E1" t="s">
        <v>481</v>
      </c>
    </row>
    <row r="2" spans="1:5" x14ac:dyDescent="0.25">
      <c r="A2" t="s">
        <v>503</v>
      </c>
      <c r="B2" s="3">
        <v>2</v>
      </c>
      <c r="C2" s="3">
        <v>2</v>
      </c>
      <c r="D2" s="5">
        <f>(B2*4.5)+(C2*1.75)</f>
        <v>12.5</v>
      </c>
    </row>
    <row r="3" spans="1:5" x14ac:dyDescent="0.25">
      <c r="A3" t="s">
        <v>502</v>
      </c>
      <c r="B3" s="3">
        <v>1</v>
      </c>
      <c r="C3" s="3">
        <v>1</v>
      </c>
      <c r="D3" s="5">
        <f t="shared" ref="D3:D6" si="0">(B3*4.5)+(C3*1.75)</f>
        <v>6.25</v>
      </c>
    </row>
    <row r="4" spans="1:5" x14ac:dyDescent="0.25">
      <c r="A4" t="s">
        <v>496</v>
      </c>
      <c r="B4" s="3">
        <v>2</v>
      </c>
      <c r="C4" s="3">
        <v>2</v>
      </c>
      <c r="D4" s="5">
        <f t="shared" si="0"/>
        <v>12.5</v>
      </c>
    </row>
    <row r="5" spans="1:5" x14ac:dyDescent="0.25">
      <c r="A5" t="s">
        <v>39</v>
      </c>
      <c r="B5" s="3">
        <v>2</v>
      </c>
      <c r="C5" s="3">
        <v>2</v>
      </c>
      <c r="D5" s="5">
        <v>12.5</v>
      </c>
    </row>
    <row r="6" spans="1:5" x14ac:dyDescent="0.25">
      <c r="A6" t="s">
        <v>58</v>
      </c>
      <c r="B6" s="3">
        <v>-7</v>
      </c>
      <c r="C6" s="3">
        <v>-2</v>
      </c>
      <c r="D6" s="5">
        <v>-35</v>
      </c>
    </row>
    <row r="7" spans="1:5" x14ac:dyDescent="0.25">
      <c r="B7" s="4">
        <f>SUM(B2:B6)*4.5</f>
        <v>0</v>
      </c>
      <c r="C7" s="4">
        <f>SUM(C2:C6)*1.75</f>
        <v>8.75</v>
      </c>
      <c r="D7" s="5">
        <f>SUM(D2:D6)</f>
        <v>8.75</v>
      </c>
    </row>
  </sheetData>
  <sortState ref="A2:C36">
    <sortCondition ref="A2:A3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topLeftCell="A28" workbookViewId="0">
      <selection activeCell="C45" sqref="C45"/>
    </sheetView>
  </sheetViews>
  <sheetFormatPr defaultRowHeight="15" x14ac:dyDescent="0.25"/>
  <cols>
    <col min="1" max="1" width="31.7109375" bestFit="1" customWidth="1"/>
    <col min="2" max="2" width="20" style="2" bestFit="1" customWidth="1"/>
    <col min="3" max="3" width="21.7109375" style="2" bestFit="1" customWidth="1"/>
    <col min="4" max="4" width="19" style="2" customWidth="1"/>
    <col min="5" max="5" width="9.5703125" style="2" bestFit="1" customWidth="1"/>
    <col min="6" max="7" width="9.28515625" style="2" bestFit="1" customWidth="1"/>
    <col min="8" max="8" width="13.28515625" style="2" customWidth="1"/>
    <col min="9" max="9" width="14.85546875" style="2" bestFit="1" customWidth="1"/>
    <col min="10" max="10" width="20.42578125" style="2" bestFit="1" customWidth="1"/>
    <col min="11" max="11" width="9.28515625" style="2" bestFit="1" customWidth="1"/>
    <col min="12" max="12" width="11" style="2" bestFit="1" customWidth="1"/>
    <col min="13" max="13" width="9.5703125" style="2" bestFit="1" customWidth="1"/>
  </cols>
  <sheetData>
    <row r="1" spans="1:14" s="317" customFormat="1" ht="60" x14ac:dyDescent="0.25">
      <c r="A1" s="317" t="s">
        <v>0</v>
      </c>
      <c r="B1" s="318" t="s">
        <v>1</v>
      </c>
      <c r="C1" s="318" t="s">
        <v>2</v>
      </c>
      <c r="D1" s="318" t="s">
        <v>8</v>
      </c>
      <c r="E1" s="318" t="s">
        <v>3</v>
      </c>
      <c r="F1" s="318" t="s">
        <v>4</v>
      </c>
      <c r="G1" s="318" t="s">
        <v>5</v>
      </c>
      <c r="H1" s="318" t="s">
        <v>6</v>
      </c>
      <c r="I1" s="318" t="s">
        <v>7</v>
      </c>
      <c r="J1" s="318" t="s">
        <v>9</v>
      </c>
      <c r="K1" s="318" t="s">
        <v>10</v>
      </c>
      <c r="L1" s="318" t="s">
        <v>11</v>
      </c>
      <c r="M1" s="318" t="s">
        <v>12</v>
      </c>
    </row>
    <row r="2" spans="1:14" x14ac:dyDescent="0.25">
      <c r="A2" t="s">
        <v>15</v>
      </c>
      <c r="B2" s="2">
        <v>1</v>
      </c>
      <c r="C2" s="2">
        <v>27</v>
      </c>
      <c r="D2" s="2">
        <f>(B2*80)+C2</f>
        <v>107</v>
      </c>
      <c r="E2" s="2">
        <v>0</v>
      </c>
      <c r="F2" s="2">
        <v>4</v>
      </c>
      <c r="G2" s="2">
        <v>0</v>
      </c>
      <c r="H2" s="2">
        <v>49</v>
      </c>
      <c r="I2" s="2">
        <f>(G2*80)+H2</f>
        <v>49</v>
      </c>
      <c r="J2" s="319">
        <f t="shared" ref="J2:J23" si="0">+D2+E2-F2-I2</f>
        <v>54</v>
      </c>
      <c r="K2" s="2">
        <v>5</v>
      </c>
      <c r="L2" s="2">
        <f t="shared" ref="L2:L23" si="1">+J2*K2</f>
        <v>270</v>
      </c>
      <c r="M2" s="2">
        <f>+L2*10%</f>
        <v>27</v>
      </c>
    </row>
    <row r="3" spans="1:14" x14ac:dyDescent="0.25">
      <c r="A3" t="s">
        <v>16</v>
      </c>
      <c r="B3" s="2">
        <v>20</v>
      </c>
      <c r="C3" s="2">
        <v>0</v>
      </c>
      <c r="D3" s="2">
        <f>(B3*40)+C3</f>
        <v>800</v>
      </c>
      <c r="E3" s="2">
        <v>-10</v>
      </c>
      <c r="F3" s="2">
        <f>69+8</f>
        <v>77</v>
      </c>
      <c r="G3" s="2">
        <v>2</v>
      </c>
      <c r="H3" s="2">
        <v>44</v>
      </c>
      <c r="I3" s="2">
        <f>(G3*40)+H3</f>
        <v>124</v>
      </c>
      <c r="J3" s="2">
        <f t="shared" si="0"/>
        <v>589</v>
      </c>
      <c r="K3" s="2">
        <v>6</v>
      </c>
      <c r="L3" s="2">
        <f t="shared" si="1"/>
        <v>3534</v>
      </c>
      <c r="M3" s="2">
        <f t="shared" ref="M3:M24" si="2">+L3*10%</f>
        <v>353.40000000000003</v>
      </c>
    </row>
    <row r="4" spans="1:14" x14ac:dyDescent="0.25">
      <c r="A4" t="s">
        <v>466</v>
      </c>
      <c r="B4" s="2">
        <v>5</v>
      </c>
      <c r="C4" s="2">
        <v>0</v>
      </c>
      <c r="D4" s="319">
        <f>(B4*40)+C4</f>
        <v>200</v>
      </c>
      <c r="E4" s="319">
        <f>120+120</f>
        <v>240</v>
      </c>
      <c r="F4" s="2">
        <v>8</v>
      </c>
      <c r="G4" s="2">
        <v>0</v>
      </c>
      <c r="H4" s="2">
        <v>19</v>
      </c>
      <c r="I4" s="2">
        <f>(G4*40)+H4</f>
        <v>19</v>
      </c>
      <c r="J4" s="319">
        <f t="shared" si="0"/>
        <v>413</v>
      </c>
      <c r="K4" s="2">
        <v>6</v>
      </c>
      <c r="L4" s="2">
        <f t="shared" si="1"/>
        <v>2478</v>
      </c>
      <c r="M4" s="2">
        <f t="shared" si="2"/>
        <v>247.8</v>
      </c>
    </row>
    <row r="5" spans="1:14" x14ac:dyDescent="0.25">
      <c r="A5" t="s">
        <v>20</v>
      </c>
      <c r="B5" s="2">
        <v>1</v>
      </c>
      <c r="C5" s="2">
        <v>4</v>
      </c>
      <c r="D5" s="319">
        <f>(B5*1000)+C5</f>
        <v>1004</v>
      </c>
      <c r="E5" s="319">
        <v>900</v>
      </c>
      <c r="F5" s="2">
        <v>0</v>
      </c>
      <c r="G5" s="2">
        <v>0</v>
      </c>
      <c r="H5" s="2">
        <v>876</v>
      </c>
      <c r="I5" s="2">
        <f>(G5*1000)+H5</f>
        <v>876</v>
      </c>
      <c r="J5" s="319">
        <f>+D5+E5-F5-I5</f>
        <v>1028</v>
      </c>
      <c r="K5" s="2">
        <v>4</v>
      </c>
      <c r="L5" s="2">
        <f t="shared" si="1"/>
        <v>4112</v>
      </c>
      <c r="M5" s="2">
        <f t="shared" si="2"/>
        <v>411.20000000000005</v>
      </c>
    </row>
    <row r="6" spans="1:14" x14ac:dyDescent="0.25">
      <c r="A6" t="s">
        <v>17</v>
      </c>
      <c r="B6" s="2">
        <v>10</v>
      </c>
      <c r="C6" s="2">
        <v>0</v>
      </c>
      <c r="D6" s="319">
        <f>(B6*60)+C6</f>
        <v>600</v>
      </c>
      <c r="E6" s="319">
        <v>-48</v>
      </c>
      <c r="F6" s="2">
        <f>2+4</f>
        <v>6</v>
      </c>
      <c r="G6" s="2">
        <v>2</v>
      </c>
      <c r="H6" s="2">
        <v>24</v>
      </c>
      <c r="I6" s="2">
        <f>(G6*60)+H6</f>
        <v>144</v>
      </c>
      <c r="J6" s="2">
        <f t="shared" si="0"/>
        <v>402</v>
      </c>
      <c r="K6" s="2">
        <v>4</v>
      </c>
      <c r="L6" s="2">
        <f t="shared" si="1"/>
        <v>1608</v>
      </c>
      <c r="M6" s="2">
        <f t="shared" si="2"/>
        <v>160.80000000000001</v>
      </c>
      <c r="N6" t="s">
        <v>468</v>
      </c>
    </row>
    <row r="7" spans="1:14" x14ac:dyDescent="0.25">
      <c r="A7" t="s">
        <v>13</v>
      </c>
      <c r="B7" s="2">
        <v>0</v>
      </c>
      <c r="C7" s="2">
        <v>19</v>
      </c>
      <c r="D7" s="2">
        <f>(B7*80)+C7</f>
        <v>19</v>
      </c>
      <c r="E7" s="2">
        <f>12+11</f>
        <v>23</v>
      </c>
      <c r="F7" s="2">
        <v>0</v>
      </c>
      <c r="G7" s="2">
        <v>0</v>
      </c>
      <c r="H7" s="2">
        <v>5</v>
      </c>
      <c r="I7" s="2">
        <f>(G7*80)+H7</f>
        <v>5</v>
      </c>
      <c r="J7" s="319">
        <f t="shared" si="0"/>
        <v>37</v>
      </c>
      <c r="K7" s="2">
        <v>5</v>
      </c>
      <c r="L7" s="2">
        <f t="shared" si="1"/>
        <v>185</v>
      </c>
      <c r="M7" s="2">
        <f t="shared" si="2"/>
        <v>18.5</v>
      </c>
      <c r="N7" t="s">
        <v>469</v>
      </c>
    </row>
    <row r="8" spans="1:14" x14ac:dyDescent="0.25">
      <c r="A8" t="s">
        <v>18</v>
      </c>
      <c r="B8" s="2">
        <v>1</v>
      </c>
      <c r="C8" s="2">
        <v>0</v>
      </c>
      <c r="D8" s="2">
        <f>(B8*36)+C8</f>
        <v>36</v>
      </c>
      <c r="E8" s="2">
        <v>36</v>
      </c>
      <c r="F8" s="2">
        <v>0</v>
      </c>
      <c r="G8" s="2">
        <v>0</v>
      </c>
      <c r="H8" s="2">
        <v>29</v>
      </c>
      <c r="I8" s="2">
        <f>(G8*36)+H8</f>
        <v>29</v>
      </c>
      <c r="J8" s="319">
        <f t="shared" si="0"/>
        <v>43</v>
      </c>
      <c r="K8" s="2">
        <v>5</v>
      </c>
      <c r="L8" s="2">
        <f t="shared" si="1"/>
        <v>215</v>
      </c>
      <c r="M8" s="2">
        <f t="shared" si="2"/>
        <v>21.5</v>
      </c>
    </row>
    <row r="9" spans="1:14" x14ac:dyDescent="0.25">
      <c r="A9" t="s">
        <v>21</v>
      </c>
      <c r="B9" s="2">
        <v>10</v>
      </c>
      <c r="C9" s="2">
        <v>0</v>
      </c>
      <c r="D9" s="2">
        <f t="shared" ref="D9:D15" si="3">(B9*24)+C9</f>
        <v>240</v>
      </c>
      <c r="E9" s="2">
        <f>24+72</f>
        <v>96</v>
      </c>
      <c r="F9" s="2">
        <v>0</v>
      </c>
      <c r="G9" s="2">
        <v>0</v>
      </c>
      <c r="H9" s="2">
        <v>0</v>
      </c>
      <c r="I9" s="2">
        <f t="shared" ref="I9:I15" si="4">(G9*24)+H9</f>
        <v>0</v>
      </c>
      <c r="J9" s="319">
        <f t="shared" si="0"/>
        <v>336</v>
      </c>
      <c r="K9" s="2">
        <v>4</v>
      </c>
      <c r="L9" s="2">
        <f t="shared" si="1"/>
        <v>1344</v>
      </c>
      <c r="M9" s="2">
        <f t="shared" si="2"/>
        <v>134.4</v>
      </c>
      <c r="N9" t="s">
        <v>470</v>
      </c>
    </row>
    <row r="10" spans="1:14" x14ac:dyDescent="0.25">
      <c r="A10" t="s">
        <v>22</v>
      </c>
      <c r="B10" s="2">
        <v>6</v>
      </c>
      <c r="C10" s="2">
        <v>0</v>
      </c>
      <c r="D10" s="2">
        <f t="shared" si="3"/>
        <v>144</v>
      </c>
      <c r="E10" s="2">
        <f>240+48</f>
        <v>288</v>
      </c>
      <c r="F10" s="2">
        <v>0</v>
      </c>
      <c r="G10" s="2">
        <v>4</v>
      </c>
      <c r="H10" s="2">
        <v>0</v>
      </c>
      <c r="I10" s="2">
        <f t="shared" si="4"/>
        <v>96</v>
      </c>
      <c r="J10" s="2">
        <f t="shared" si="0"/>
        <v>336</v>
      </c>
      <c r="K10" s="2">
        <v>4</v>
      </c>
      <c r="L10" s="2">
        <f t="shared" si="1"/>
        <v>1344</v>
      </c>
      <c r="M10" s="2">
        <f t="shared" si="2"/>
        <v>134.4</v>
      </c>
    </row>
    <row r="11" spans="1:14" x14ac:dyDescent="0.25">
      <c r="A11" t="s">
        <v>23</v>
      </c>
      <c r="B11" s="2">
        <v>3</v>
      </c>
      <c r="C11" s="2">
        <v>0</v>
      </c>
      <c r="D11" s="2">
        <f t="shared" si="3"/>
        <v>72</v>
      </c>
      <c r="E11" s="2">
        <f>96+24</f>
        <v>120</v>
      </c>
      <c r="F11" s="2">
        <v>0</v>
      </c>
      <c r="G11" s="2">
        <v>4</v>
      </c>
      <c r="H11" s="2">
        <v>20</v>
      </c>
      <c r="I11" s="2">
        <f t="shared" si="4"/>
        <v>116</v>
      </c>
      <c r="J11" s="319">
        <f t="shared" si="0"/>
        <v>76</v>
      </c>
      <c r="K11" s="2">
        <v>4</v>
      </c>
      <c r="L11" s="2">
        <f t="shared" si="1"/>
        <v>304</v>
      </c>
      <c r="M11" s="2">
        <f t="shared" si="2"/>
        <v>30.400000000000002</v>
      </c>
      <c r="N11" t="s">
        <v>471</v>
      </c>
    </row>
    <row r="12" spans="1:14" x14ac:dyDescent="0.25">
      <c r="A12" t="s">
        <v>24</v>
      </c>
      <c r="B12" s="2">
        <v>6</v>
      </c>
      <c r="C12" s="2">
        <v>0</v>
      </c>
      <c r="D12" s="2">
        <f t="shared" si="3"/>
        <v>144</v>
      </c>
      <c r="E12" s="2">
        <v>96</v>
      </c>
      <c r="F12" s="2">
        <v>0</v>
      </c>
      <c r="G12" s="2">
        <v>4</v>
      </c>
      <c r="H12" s="2">
        <v>2</v>
      </c>
      <c r="I12" s="2">
        <f t="shared" si="4"/>
        <v>98</v>
      </c>
      <c r="J12" s="319">
        <f t="shared" si="0"/>
        <v>142</v>
      </c>
      <c r="K12" s="2">
        <v>4</v>
      </c>
      <c r="L12" s="2">
        <f t="shared" si="1"/>
        <v>568</v>
      </c>
      <c r="M12" s="2">
        <f t="shared" si="2"/>
        <v>56.800000000000004</v>
      </c>
      <c r="N12" t="s">
        <v>472</v>
      </c>
    </row>
    <row r="13" spans="1:14" x14ac:dyDescent="0.25">
      <c r="A13" t="s">
        <v>25</v>
      </c>
      <c r="B13" s="2">
        <v>2</v>
      </c>
      <c r="C13" s="2">
        <v>0</v>
      </c>
      <c r="D13" s="2">
        <f t="shared" si="3"/>
        <v>48</v>
      </c>
      <c r="E13" s="2">
        <f>48+24</f>
        <v>72</v>
      </c>
      <c r="F13" s="2">
        <v>2</v>
      </c>
      <c r="G13" s="2">
        <v>3</v>
      </c>
      <c r="H13" s="2">
        <v>10</v>
      </c>
      <c r="I13" s="2">
        <f t="shared" si="4"/>
        <v>82</v>
      </c>
      <c r="J13" s="2">
        <f t="shared" si="0"/>
        <v>36</v>
      </c>
      <c r="K13" s="2">
        <v>4</v>
      </c>
      <c r="L13" s="2">
        <f t="shared" si="1"/>
        <v>144</v>
      </c>
      <c r="M13" s="2">
        <f t="shared" si="2"/>
        <v>14.4</v>
      </c>
    </row>
    <row r="14" spans="1:14" x14ac:dyDescent="0.25">
      <c r="A14" t="s">
        <v>26</v>
      </c>
      <c r="B14" s="2">
        <v>4</v>
      </c>
      <c r="C14" s="2">
        <v>0</v>
      </c>
      <c r="D14" s="2">
        <f t="shared" si="3"/>
        <v>96</v>
      </c>
      <c r="E14" s="2">
        <v>0</v>
      </c>
      <c r="F14" s="2">
        <v>0</v>
      </c>
      <c r="G14" s="2">
        <v>0</v>
      </c>
      <c r="H14" s="2">
        <v>23</v>
      </c>
      <c r="I14" s="2">
        <f t="shared" si="4"/>
        <v>23</v>
      </c>
      <c r="J14" s="2">
        <f t="shared" si="0"/>
        <v>73</v>
      </c>
      <c r="K14" s="2">
        <v>4</v>
      </c>
      <c r="L14" s="2">
        <f t="shared" si="1"/>
        <v>292</v>
      </c>
      <c r="M14" s="2">
        <f t="shared" si="2"/>
        <v>29.200000000000003</v>
      </c>
    </row>
    <row r="15" spans="1:14" x14ac:dyDescent="0.25">
      <c r="A15" t="s">
        <v>27</v>
      </c>
      <c r="B15" s="2">
        <v>14</v>
      </c>
      <c r="C15" s="2">
        <v>0</v>
      </c>
      <c r="D15" s="2">
        <f t="shared" si="3"/>
        <v>336</v>
      </c>
      <c r="E15" s="2">
        <v>0</v>
      </c>
      <c r="F15" s="2">
        <v>0</v>
      </c>
      <c r="G15" s="2">
        <v>5</v>
      </c>
      <c r="H15" s="2">
        <v>23</v>
      </c>
      <c r="I15" s="2">
        <f t="shared" si="4"/>
        <v>143</v>
      </c>
      <c r="J15" s="2">
        <f t="shared" si="0"/>
        <v>193</v>
      </c>
      <c r="K15" s="2">
        <v>4</v>
      </c>
      <c r="L15" s="2">
        <f t="shared" si="1"/>
        <v>772</v>
      </c>
      <c r="M15" s="2">
        <f t="shared" si="2"/>
        <v>77.2</v>
      </c>
    </row>
    <row r="16" spans="1:14" x14ac:dyDescent="0.25">
      <c r="A16" t="s">
        <v>14</v>
      </c>
      <c r="B16" s="2">
        <v>0</v>
      </c>
      <c r="C16" s="2">
        <v>0</v>
      </c>
      <c r="D16" s="2">
        <f>(B16*1)+C16</f>
        <v>0</v>
      </c>
      <c r="E16" s="2">
        <v>0</v>
      </c>
      <c r="F16" s="2">
        <v>0</v>
      </c>
      <c r="G16" s="2">
        <v>0</v>
      </c>
      <c r="H16" s="2">
        <v>0</v>
      </c>
      <c r="I16" s="2">
        <f>(G16*1)+H16</f>
        <v>0</v>
      </c>
      <c r="J16" s="2">
        <f t="shared" si="0"/>
        <v>0</v>
      </c>
      <c r="K16" s="2">
        <v>1</v>
      </c>
      <c r="L16" s="2">
        <f t="shared" si="1"/>
        <v>0</v>
      </c>
      <c r="M16" s="2">
        <f t="shared" si="2"/>
        <v>0</v>
      </c>
    </row>
    <row r="17" spans="1:14" x14ac:dyDescent="0.25">
      <c r="A17" t="s">
        <v>19</v>
      </c>
      <c r="B17" s="2">
        <v>6</v>
      </c>
      <c r="C17" s="2">
        <v>0</v>
      </c>
      <c r="D17" s="2">
        <f>(B17*50)+C17</f>
        <v>300</v>
      </c>
      <c r="E17" s="2">
        <f>150+50</f>
        <v>200</v>
      </c>
      <c r="F17" s="2">
        <f>1+1</f>
        <v>2</v>
      </c>
      <c r="G17" s="2">
        <v>0</v>
      </c>
      <c r="H17" s="2">
        <v>273</v>
      </c>
      <c r="I17" s="2">
        <f>(G17*50)+H17</f>
        <v>273</v>
      </c>
      <c r="J17" s="2">
        <f t="shared" si="0"/>
        <v>225</v>
      </c>
      <c r="K17" s="2">
        <v>4</v>
      </c>
      <c r="L17" s="2">
        <f t="shared" si="1"/>
        <v>900</v>
      </c>
      <c r="M17" s="2">
        <f t="shared" si="2"/>
        <v>90</v>
      </c>
    </row>
    <row r="18" spans="1:14" x14ac:dyDescent="0.25">
      <c r="A18" t="s">
        <v>28</v>
      </c>
      <c r="B18" s="2">
        <v>3</v>
      </c>
      <c r="C18" s="2">
        <v>0</v>
      </c>
      <c r="D18" s="2">
        <f>(B18*24)+C18</f>
        <v>72</v>
      </c>
      <c r="E18" s="2">
        <f>96+48</f>
        <v>144</v>
      </c>
      <c r="F18" s="2">
        <v>0</v>
      </c>
      <c r="G18" s="2">
        <v>6</v>
      </c>
      <c r="H18" s="2">
        <v>0</v>
      </c>
      <c r="I18" s="2">
        <f>(G18*24)+H18</f>
        <v>144</v>
      </c>
      <c r="J18" s="2">
        <f t="shared" si="0"/>
        <v>72</v>
      </c>
      <c r="K18" s="2">
        <v>6</v>
      </c>
      <c r="L18" s="2">
        <f t="shared" si="1"/>
        <v>432</v>
      </c>
      <c r="M18" s="2">
        <f t="shared" si="2"/>
        <v>43.2</v>
      </c>
    </row>
    <row r="19" spans="1:14" x14ac:dyDescent="0.25">
      <c r="A19" t="s">
        <v>29</v>
      </c>
      <c r="B19" s="2">
        <v>8</v>
      </c>
      <c r="C19" s="2">
        <v>0</v>
      </c>
      <c r="D19" s="2">
        <f>(B19*24)+C19</f>
        <v>192</v>
      </c>
      <c r="E19" s="2">
        <v>72</v>
      </c>
      <c r="F19" s="2">
        <v>0</v>
      </c>
      <c r="G19" s="2">
        <v>6</v>
      </c>
      <c r="H19" s="2">
        <v>14</v>
      </c>
      <c r="I19" s="2">
        <f>(G19*24)+H19</f>
        <v>158</v>
      </c>
      <c r="J19" s="319">
        <f t="shared" si="0"/>
        <v>106</v>
      </c>
      <c r="K19" s="2">
        <v>6</v>
      </c>
      <c r="L19" s="2">
        <f t="shared" si="1"/>
        <v>636</v>
      </c>
      <c r="M19" s="2">
        <f t="shared" si="2"/>
        <v>63.6</v>
      </c>
      <c r="N19" t="s">
        <v>473</v>
      </c>
    </row>
    <row r="20" spans="1:14" hidden="1" x14ac:dyDescent="0.25">
      <c r="A20" t="s">
        <v>30</v>
      </c>
      <c r="B20" s="2">
        <v>0</v>
      </c>
      <c r="C20" s="2">
        <v>0</v>
      </c>
      <c r="D20" s="2">
        <f>(B20*24)+C20</f>
        <v>0</v>
      </c>
      <c r="I20" s="2">
        <f>(G20*24)+H20</f>
        <v>0</v>
      </c>
      <c r="J20" s="2">
        <f t="shared" si="0"/>
        <v>0</v>
      </c>
      <c r="K20" s="2">
        <v>6</v>
      </c>
      <c r="L20" s="2">
        <f t="shared" si="1"/>
        <v>0</v>
      </c>
      <c r="M20" s="2">
        <f t="shared" si="2"/>
        <v>0</v>
      </c>
    </row>
    <row r="21" spans="1:14" x14ac:dyDescent="0.25">
      <c r="A21" t="s">
        <v>31</v>
      </c>
      <c r="B21" s="2">
        <v>0</v>
      </c>
      <c r="C21" s="2">
        <v>0</v>
      </c>
      <c r="D21" s="2">
        <f>(B21*24)+C21</f>
        <v>0</v>
      </c>
      <c r="E21" s="2">
        <v>0</v>
      </c>
      <c r="F21" s="2">
        <v>0</v>
      </c>
      <c r="G21" s="2">
        <v>0</v>
      </c>
      <c r="H21" s="2">
        <v>0</v>
      </c>
      <c r="I21" s="2">
        <f>(G21*24)+H21</f>
        <v>0</v>
      </c>
      <c r="J21" s="2">
        <f t="shared" si="0"/>
        <v>0</v>
      </c>
      <c r="K21" s="2">
        <v>6</v>
      </c>
      <c r="L21" s="2">
        <f t="shared" si="1"/>
        <v>0</v>
      </c>
      <c r="M21" s="2">
        <f t="shared" si="2"/>
        <v>0</v>
      </c>
    </row>
    <row r="22" spans="1:14" x14ac:dyDescent="0.25">
      <c r="A22" t="s">
        <v>32</v>
      </c>
      <c r="B22" s="2">
        <v>3</v>
      </c>
      <c r="C22" s="2">
        <v>0</v>
      </c>
      <c r="D22" s="2">
        <f>(B22*24)+C22</f>
        <v>72</v>
      </c>
      <c r="E22" s="2">
        <f>96+48</f>
        <v>144</v>
      </c>
      <c r="F22" s="2">
        <v>0</v>
      </c>
      <c r="G22" s="2">
        <v>6</v>
      </c>
      <c r="H22" s="2">
        <v>4</v>
      </c>
      <c r="I22" s="2">
        <f>(G22*24)+H22</f>
        <v>148</v>
      </c>
      <c r="J22" s="2">
        <f t="shared" si="0"/>
        <v>68</v>
      </c>
      <c r="K22" s="2">
        <v>6</v>
      </c>
      <c r="L22" s="2">
        <f t="shared" si="1"/>
        <v>408</v>
      </c>
      <c r="M22" s="2">
        <f t="shared" si="2"/>
        <v>40.800000000000004</v>
      </c>
    </row>
    <row r="23" spans="1:14" x14ac:dyDescent="0.25">
      <c r="A23" t="s">
        <v>467</v>
      </c>
      <c r="B23" s="2">
        <v>0</v>
      </c>
      <c r="C23" s="2">
        <v>0</v>
      </c>
      <c r="D23" s="2">
        <f>(B23*80)+C23</f>
        <v>0</v>
      </c>
      <c r="I23" s="2">
        <f>(G23*1)+H23</f>
        <v>0</v>
      </c>
      <c r="J23" s="2">
        <f t="shared" si="0"/>
        <v>0</v>
      </c>
      <c r="K23" s="2">
        <v>9</v>
      </c>
      <c r="L23" s="2">
        <f t="shared" si="1"/>
        <v>0</v>
      </c>
      <c r="M23" s="2">
        <f t="shared" si="2"/>
        <v>0</v>
      </c>
    </row>
    <row r="24" spans="1:14" x14ac:dyDescent="0.25">
      <c r="B24" s="2">
        <f t="shared" ref="B24:K24" si="5">SUM(B2:B23)</f>
        <v>103</v>
      </c>
      <c r="C24" s="2">
        <f t="shared" si="5"/>
        <v>50</v>
      </c>
      <c r="D24" s="2">
        <f t="shared" si="5"/>
        <v>4482</v>
      </c>
      <c r="E24" s="2">
        <f t="shared" si="5"/>
        <v>2373</v>
      </c>
      <c r="F24" s="2">
        <f t="shared" si="5"/>
        <v>99</v>
      </c>
      <c r="G24" s="2">
        <f t="shared" si="5"/>
        <v>42</v>
      </c>
      <c r="H24" s="2">
        <f t="shared" si="5"/>
        <v>1415</v>
      </c>
      <c r="I24" s="2">
        <f t="shared" si="5"/>
        <v>2527</v>
      </c>
      <c r="J24" s="2">
        <f t="shared" si="5"/>
        <v>4229</v>
      </c>
      <c r="K24" s="2">
        <f t="shared" si="5"/>
        <v>107</v>
      </c>
      <c r="L24" s="2">
        <f>SUM(L2:L23)</f>
        <v>19546</v>
      </c>
      <c r="M24" s="2">
        <f t="shared" si="2"/>
        <v>1954.6000000000001</v>
      </c>
    </row>
    <row r="26" spans="1:14" x14ac:dyDescent="0.25">
      <c r="A26" t="s">
        <v>38</v>
      </c>
    </row>
    <row r="27" spans="1:14" x14ac:dyDescent="0.25">
      <c r="A27" s="1">
        <v>42070</v>
      </c>
      <c r="B27" s="2">
        <v>8520</v>
      </c>
      <c r="C27" s="2">
        <v>7650</v>
      </c>
      <c r="D27" s="2">
        <v>3335</v>
      </c>
      <c r="L27" s="2">
        <f>SUM(B27:K27)-2000</f>
        <v>17505</v>
      </c>
    </row>
    <row r="28" spans="1:14" x14ac:dyDescent="0.25">
      <c r="A28" s="1">
        <v>42077</v>
      </c>
      <c r="B28" s="2">
        <v>1516</v>
      </c>
      <c r="C28" s="2">
        <v>4103</v>
      </c>
      <c r="D28" s="2">
        <v>468</v>
      </c>
      <c r="L28" s="2">
        <f t="shared" ref="L28" si="6">SUM(B28:K28)-2000</f>
        <v>4087</v>
      </c>
    </row>
    <row r="29" spans="1:14" x14ac:dyDescent="0.25">
      <c r="A29" s="1"/>
    </row>
    <row r="30" spans="1:14" x14ac:dyDescent="0.25">
      <c r="A30" s="1"/>
    </row>
    <row r="31" spans="1:14" x14ac:dyDescent="0.25">
      <c r="A31" s="1"/>
    </row>
    <row r="32" spans="1:14" x14ac:dyDescent="0.25">
      <c r="A32" s="1"/>
    </row>
    <row r="33" spans="1:12" x14ac:dyDescent="0.25">
      <c r="A33" s="1"/>
    </row>
    <row r="34" spans="1:12" x14ac:dyDescent="0.25">
      <c r="A34" s="1"/>
    </row>
    <row r="35" spans="1:12" x14ac:dyDescent="0.25">
      <c r="A35" t="s">
        <v>42</v>
      </c>
      <c r="L35" s="2">
        <f>SUM(L27:L34)</f>
        <v>21592</v>
      </c>
    </row>
    <row r="36" spans="1:12" x14ac:dyDescent="0.25">
      <c r="L36" s="2">
        <f>+L24-L35</f>
        <v>-2046</v>
      </c>
    </row>
    <row r="37" spans="1:12" x14ac:dyDescent="0.25">
      <c r="A37" t="s">
        <v>43</v>
      </c>
      <c r="B37" s="2">
        <f>+L24</f>
        <v>19546</v>
      </c>
    </row>
    <row r="38" spans="1:12" x14ac:dyDescent="0.25">
      <c r="A38" t="s">
        <v>44</v>
      </c>
      <c r="B38" s="2">
        <f>+L9</f>
        <v>1344</v>
      </c>
    </row>
    <row r="39" spans="1:12" x14ac:dyDescent="0.25">
      <c r="A39" t="s">
        <v>45</v>
      </c>
      <c r="B39" s="2">
        <f>(B37-B38)/106.5%</f>
        <v>17091.079812206575</v>
      </c>
    </row>
    <row r="40" spans="1:12" x14ac:dyDescent="0.25">
      <c r="A40" t="s">
        <v>46</v>
      </c>
      <c r="B40" s="2">
        <f>+B38+B39</f>
        <v>18435.079812206575</v>
      </c>
    </row>
    <row r="41" spans="1:12" x14ac:dyDescent="0.25">
      <c r="A41" t="s">
        <v>47</v>
      </c>
      <c r="B41" s="2">
        <f>ROUND(+B40*10%,2)</f>
        <v>1843.51</v>
      </c>
    </row>
    <row r="42" spans="1:12" x14ac:dyDescent="0.25">
      <c r="A42" t="s">
        <v>48</v>
      </c>
      <c r="B42" s="2">
        <v>322</v>
      </c>
    </row>
    <row r="43" spans="1:12" x14ac:dyDescent="0.25">
      <c r="A43" t="s">
        <v>50</v>
      </c>
      <c r="B43" s="2">
        <v>0</v>
      </c>
    </row>
    <row r="44" spans="1:12" x14ac:dyDescent="0.25">
      <c r="A44" t="s">
        <v>49</v>
      </c>
      <c r="B44" s="315">
        <f>+B41+B42+B43</f>
        <v>2165.5100000000002</v>
      </c>
      <c r="C44" s="2">
        <f>+B44-8.75</f>
        <v>2156.7600000000002</v>
      </c>
    </row>
    <row r="45" spans="1:12" x14ac:dyDescent="0.25">
      <c r="A45" t="s">
        <v>480</v>
      </c>
      <c r="B45" s="315">
        <f>ROUND(+B44*8%,2)</f>
        <v>173.24</v>
      </c>
      <c r="C45" s="2">
        <f>+B44*2%-0.01</f>
        <v>43.300200000000004</v>
      </c>
      <c r="D45" s="2" t="s">
        <v>512</v>
      </c>
    </row>
    <row r="46" spans="1:12" x14ac:dyDescent="0.25">
      <c r="A46" t="s">
        <v>51</v>
      </c>
      <c r="B46" s="315">
        <f>+'Hrs volunteered'!D21</f>
        <v>215</v>
      </c>
    </row>
    <row r="47" spans="1:12" x14ac:dyDescent="0.25">
      <c r="A47" t="s">
        <v>52</v>
      </c>
      <c r="B47" s="315">
        <f>ROUNDUP((+B44-B45)/B46,2)-0.01</f>
        <v>9.26</v>
      </c>
    </row>
    <row r="48" spans="1:12" x14ac:dyDescent="0.25">
      <c r="A48" t="s">
        <v>53</v>
      </c>
      <c r="B48" s="315">
        <f>+B44-'Hrs volunteered'!E21</f>
        <v>174.56000000000063</v>
      </c>
    </row>
  </sheetData>
  <pageMargins left="0.7" right="0.7" top="0.75" bottom="0.75" header="0.3" footer="0.3"/>
  <pageSetup scale="4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806"/>
  <sheetViews>
    <sheetView view="pageBreakPreview" topLeftCell="A140" zoomScale="60" zoomScaleNormal="100" workbookViewId="0">
      <selection activeCell="D807" sqref="D807"/>
    </sheetView>
  </sheetViews>
  <sheetFormatPr defaultColWidth="9.140625" defaultRowHeight="13.5" x14ac:dyDescent="0.25"/>
  <cols>
    <col min="1" max="1" width="64.7109375" style="21" customWidth="1"/>
    <col min="2" max="2" width="28.42578125" style="21" customWidth="1"/>
    <col min="3" max="3" width="16.140625" style="21" customWidth="1"/>
    <col min="4" max="4" width="17.42578125" style="21" customWidth="1"/>
    <col min="5" max="9" width="12.85546875" style="21" customWidth="1"/>
    <col min="10" max="10" width="14.85546875" style="21" customWidth="1"/>
    <col min="11" max="11" width="17.42578125" style="21" customWidth="1"/>
    <col min="12" max="12" width="15.7109375" style="21" customWidth="1"/>
    <col min="13" max="13" width="18.28515625" style="21" customWidth="1"/>
    <col min="14" max="14" width="15.7109375" style="21" customWidth="1"/>
    <col min="15" max="15" width="22.28515625" style="21" customWidth="1"/>
    <col min="16" max="16" width="9.140625" style="21"/>
    <col min="17" max="17" width="9.42578125" style="21" bestFit="1" customWidth="1"/>
    <col min="18" max="18" width="16" style="21" customWidth="1"/>
    <col min="19" max="19" width="22.5703125" style="21" customWidth="1"/>
    <col min="20" max="20" width="12" style="21" customWidth="1"/>
    <col min="21" max="21" width="9.5703125" style="21" customWidth="1"/>
    <col min="22" max="16384" width="9.140625" style="21"/>
  </cols>
  <sheetData>
    <row r="1" spans="1:16" s="11" customFormat="1" ht="26.25" x14ac:dyDescent="0.5">
      <c r="A1" s="6" t="s">
        <v>60</v>
      </c>
      <c r="B1" s="7" t="s">
        <v>477</v>
      </c>
      <c r="C1" s="8"/>
      <c r="D1" s="8"/>
      <c r="E1" s="9"/>
      <c r="F1" s="9"/>
      <c r="G1" s="9"/>
      <c r="H1" s="9"/>
      <c r="I1" s="8" t="s">
        <v>62</v>
      </c>
      <c r="J1" s="8" t="s">
        <v>63</v>
      </c>
      <c r="K1" s="8"/>
      <c r="L1" s="8"/>
      <c r="M1" s="8"/>
      <c r="N1" s="9"/>
      <c r="O1" s="10"/>
    </row>
    <row r="2" spans="1:16" s="11" customFormat="1" ht="26.25" x14ac:dyDescent="0.5">
      <c r="A2" s="6" t="s">
        <v>64</v>
      </c>
      <c r="B2" s="12" t="s">
        <v>482</v>
      </c>
      <c r="C2" s="8"/>
      <c r="D2" s="8"/>
      <c r="E2" s="13"/>
      <c r="F2" s="13"/>
      <c r="G2" s="13"/>
      <c r="H2" s="13"/>
      <c r="I2" s="8" t="s">
        <v>65</v>
      </c>
      <c r="J2" s="8">
        <v>56872</v>
      </c>
      <c r="K2" s="8"/>
      <c r="L2" s="8"/>
      <c r="M2" s="8"/>
      <c r="N2" s="13"/>
      <c r="O2" s="14"/>
    </row>
    <row r="3" spans="1:16" s="11" customFormat="1" ht="26.25" x14ac:dyDescent="0.5">
      <c r="A3" s="6" t="s">
        <v>66</v>
      </c>
      <c r="B3" s="324" t="s">
        <v>483</v>
      </c>
      <c r="C3" s="324"/>
      <c r="D3" s="8"/>
      <c r="E3" s="13"/>
      <c r="F3" s="13"/>
      <c r="G3" s="13"/>
      <c r="H3" s="13"/>
      <c r="I3" s="15" t="s">
        <v>67</v>
      </c>
      <c r="J3" s="16"/>
      <c r="K3" s="16"/>
      <c r="L3" s="16"/>
      <c r="M3" s="13"/>
      <c r="N3" s="13"/>
      <c r="O3" s="14"/>
    </row>
    <row r="4" spans="1:16" s="11" customFormat="1" ht="26.25" x14ac:dyDescent="0.5">
      <c r="A4" s="6" t="s">
        <v>68</v>
      </c>
      <c r="B4" s="12"/>
      <c r="C4" s="8"/>
      <c r="D4" s="8"/>
      <c r="E4" s="13"/>
      <c r="F4" s="13"/>
      <c r="G4" s="13"/>
      <c r="H4" s="13"/>
      <c r="I4" s="13"/>
      <c r="J4" s="13"/>
      <c r="K4" s="13"/>
      <c r="L4" s="13"/>
      <c r="M4" s="13"/>
      <c r="N4" s="13"/>
      <c r="O4" s="14"/>
    </row>
    <row r="5" spans="1:16" x14ac:dyDescent="0.25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9"/>
      <c r="O5" s="20"/>
    </row>
    <row r="6" spans="1:16" s="27" customFormat="1" ht="26.25" x14ac:dyDescent="0.5">
      <c r="A6" s="22" t="s">
        <v>69</v>
      </c>
      <c r="B6" s="23" t="s">
        <v>70</v>
      </c>
      <c r="C6" s="24" t="s">
        <v>71</v>
      </c>
      <c r="D6" s="24" t="s">
        <v>72</v>
      </c>
      <c r="E6" s="24" t="s">
        <v>72</v>
      </c>
      <c r="F6" s="24" t="s">
        <v>72</v>
      </c>
      <c r="G6" s="24" t="s">
        <v>72</v>
      </c>
      <c r="H6" s="24" t="s">
        <v>72</v>
      </c>
      <c r="I6" s="24" t="s">
        <v>73</v>
      </c>
      <c r="J6" s="24" t="s">
        <v>74</v>
      </c>
      <c r="K6" s="24" t="s">
        <v>75</v>
      </c>
      <c r="L6" s="24" t="s">
        <v>76</v>
      </c>
      <c r="M6" s="24" t="s">
        <v>77</v>
      </c>
      <c r="N6" s="25" t="s">
        <v>78</v>
      </c>
      <c r="O6" s="25" t="s">
        <v>79</v>
      </c>
      <c r="P6" s="26"/>
    </row>
    <row r="7" spans="1:16" s="11" customFormat="1" ht="26.25" hidden="1" x14ac:dyDescent="0.5">
      <c r="A7" s="28" t="s">
        <v>80</v>
      </c>
      <c r="B7" s="28" t="s">
        <v>81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30">
        <f>C7+D7+E7+F7+G7+H7-I7-J7-K7-L7</f>
        <v>0</v>
      </c>
      <c r="N7" s="31">
        <v>8</v>
      </c>
      <c r="O7" s="32">
        <f t="shared" ref="O7:O70" si="0">+M7*N7</f>
        <v>0</v>
      </c>
      <c r="P7" s="33"/>
    </row>
    <row r="8" spans="1:16" s="11" customFormat="1" ht="26.25" hidden="1" x14ac:dyDescent="0.5">
      <c r="A8" s="28" t="s">
        <v>82</v>
      </c>
      <c r="B8" s="28" t="s">
        <v>83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30">
        <f t="shared" ref="M8:M71" si="1">C8+D8+E8+F8+G8+H8-I8-J8-K8-L8</f>
        <v>0</v>
      </c>
      <c r="N8" s="31">
        <v>10</v>
      </c>
      <c r="O8" s="32">
        <f t="shared" si="0"/>
        <v>0</v>
      </c>
      <c r="P8" s="33"/>
    </row>
    <row r="9" spans="1:16" s="11" customFormat="1" ht="26.25" hidden="1" x14ac:dyDescent="0.5">
      <c r="A9" s="28" t="s">
        <v>84</v>
      </c>
      <c r="B9" s="28" t="s">
        <v>85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30">
        <f t="shared" si="1"/>
        <v>0</v>
      </c>
      <c r="N9" s="31">
        <v>8</v>
      </c>
      <c r="O9" s="32">
        <f t="shared" si="0"/>
        <v>0</v>
      </c>
      <c r="P9" s="33"/>
    </row>
    <row r="10" spans="1:16" s="11" customFormat="1" ht="26.25" hidden="1" x14ac:dyDescent="0.5">
      <c r="A10" s="28" t="s">
        <v>86</v>
      </c>
      <c r="B10" s="28" t="s">
        <v>87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30">
        <f t="shared" si="1"/>
        <v>0</v>
      </c>
      <c r="N10" s="31">
        <v>10</v>
      </c>
      <c r="O10" s="32">
        <f t="shared" si="0"/>
        <v>0</v>
      </c>
      <c r="P10" s="33"/>
    </row>
    <row r="11" spans="1:16" s="11" customFormat="1" ht="26.25" hidden="1" x14ac:dyDescent="0.5">
      <c r="A11" s="28" t="s">
        <v>88</v>
      </c>
      <c r="B11" s="28" t="s">
        <v>89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30">
        <f t="shared" si="1"/>
        <v>0</v>
      </c>
      <c r="N11" s="31">
        <v>0</v>
      </c>
      <c r="O11" s="32">
        <f t="shared" si="0"/>
        <v>0</v>
      </c>
      <c r="P11" s="33"/>
    </row>
    <row r="12" spans="1:16" s="11" customFormat="1" ht="26.25" hidden="1" x14ac:dyDescent="0.5">
      <c r="A12" s="28" t="s">
        <v>88</v>
      </c>
      <c r="B12" s="28" t="s">
        <v>90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30">
        <f t="shared" si="1"/>
        <v>0</v>
      </c>
      <c r="N12" s="31">
        <v>5</v>
      </c>
      <c r="O12" s="32">
        <f t="shared" si="0"/>
        <v>0</v>
      </c>
      <c r="P12" s="33"/>
    </row>
    <row r="13" spans="1:16" s="11" customFormat="1" ht="26.25" hidden="1" x14ac:dyDescent="0.5">
      <c r="A13" s="28" t="s">
        <v>91</v>
      </c>
      <c r="B13" s="28" t="s">
        <v>92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30">
        <f t="shared" si="1"/>
        <v>0</v>
      </c>
      <c r="N13" s="31">
        <v>7</v>
      </c>
      <c r="O13" s="32">
        <f t="shared" si="0"/>
        <v>0</v>
      </c>
      <c r="P13" s="33"/>
    </row>
    <row r="14" spans="1:16" s="11" customFormat="1" ht="26.25" hidden="1" x14ac:dyDescent="0.5">
      <c r="A14" s="28" t="s">
        <v>93</v>
      </c>
      <c r="B14" s="28" t="s">
        <v>94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30">
        <f t="shared" si="1"/>
        <v>0</v>
      </c>
      <c r="N14" s="31">
        <v>4</v>
      </c>
      <c r="O14" s="32">
        <f t="shared" si="0"/>
        <v>0</v>
      </c>
      <c r="P14" s="33"/>
    </row>
    <row r="15" spans="1:16" s="11" customFormat="1" ht="26.25" x14ac:dyDescent="0.5">
      <c r="A15" s="28" t="s">
        <v>95</v>
      </c>
      <c r="B15" s="28" t="s">
        <v>96</v>
      </c>
      <c r="C15" s="29">
        <v>107</v>
      </c>
      <c r="D15" s="29"/>
      <c r="E15" s="29"/>
      <c r="F15" s="29"/>
      <c r="G15" s="29"/>
      <c r="H15" s="29"/>
      <c r="I15" s="29"/>
      <c r="J15" s="29">
        <v>4</v>
      </c>
      <c r="K15" s="29"/>
      <c r="L15" s="29">
        <v>49</v>
      </c>
      <c r="M15" s="30">
        <f t="shared" si="1"/>
        <v>54</v>
      </c>
      <c r="N15" s="31">
        <v>5</v>
      </c>
      <c r="O15" s="32">
        <f t="shared" si="0"/>
        <v>270</v>
      </c>
      <c r="P15" s="33"/>
    </row>
    <row r="16" spans="1:16" s="11" customFormat="1" ht="26.25" hidden="1" x14ac:dyDescent="0.5">
      <c r="A16" s="28" t="s">
        <v>97</v>
      </c>
      <c r="B16" s="28" t="s">
        <v>98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30">
        <f t="shared" si="1"/>
        <v>0</v>
      </c>
      <c r="N16" s="31">
        <v>13</v>
      </c>
      <c r="O16" s="32">
        <f t="shared" si="0"/>
        <v>0</v>
      </c>
      <c r="P16" s="33"/>
    </row>
    <row r="17" spans="1:16" s="11" customFormat="1" ht="26.25" hidden="1" x14ac:dyDescent="0.5">
      <c r="A17" s="28" t="s">
        <v>99</v>
      </c>
      <c r="B17" s="28" t="s">
        <v>100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30">
        <f t="shared" si="1"/>
        <v>0</v>
      </c>
      <c r="N17" s="31">
        <v>13</v>
      </c>
      <c r="O17" s="32">
        <f t="shared" si="0"/>
        <v>0</v>
      </c>
      <c r="P17" s="33"/>
    </row>
    <row r="18" spans="1:16" s="11" customFormat="1" ht="26.25" hidden="1" x14ac:dyDescent="0.5">
      <c r="A18" s="28" t="s">
        <v>101</v>
      </c>
      <c r="B18" s="28" t="s">
        <v>102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30">
        <f t="shared" si="1"/>
        <v>0</v>
      </c>
      <c r="N18" s="31">
        <v>2</v>
      </c>
      <c r="O18" s="32">
        <f t="shared" si="0"/>
        <v>0</v>
      </c>
      <c r="P18" s="33"/>
    </row>
    <row r="19" spans="1:16" s="11" customFormat="1" ht="26.25" hidden="1" x14ac:dyDescent="0.5">
      <c r="A19" s="28" t="s">
        <v>103</v>
      </c>
      <c r="B19" s="28" t="s">
        <v>104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30">
        <f t="shared" si="1"/>
        <v>0</v>
      </c>
      <c r="N19" s="31">
        <v>4</v>
      </c>
      <c r="O19" s="32">
        <f t="shared" si="0"/>
        <v>0</v>
      </c>
      <c r="P19" s="33"/>
    </row>
    <row r="20" spans="1:16" s="11" customFormat="1" ht="26.25" hidden="1" x14ac:dyDescent="0.5">
      <c r="A20" s="28" t="s">
        <v>105</v>
      </c>
      <c r="B20" s="28" t="s">
        <v>85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30">
        <f t="shared" si="1"/>
        <v>0</v>
      </c>
      <c r="N20" s="31">
        <v>2</v>
      </c>
      <c r="O20" s="32">
        <f t="shared" si="0"/>
        <v>0</v>
      </c>
      <c r="P20" s="33"/>
    </row>
    <row r="21" spans="1:16" s="11" customFormat="1" ht="26.25" hidden="1" x14ac:dyDescent="0.5">
      <c r="A21" s="28" t="s">
        <v>106</v>
      </c>
      <c r="B21" s="28" t="s">
        <v>107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30">
        <f t="shared" si="1"/>
        <v>0</v>
      </c>
      <c r="N21" s="31">
        <v>2</v>
      </c>
      <c r="O21" s="32">
        <f t="shared" si="0"/>
        <v>0</v>
      </c>
      <c r="P21" s="33"/>
    </row>
    <row r="22" spans="1:16" s="11" customFormat="1" ht="26.25" x14ac:dyDescent="0.5">
      <c r="A22" s="28" t="s">
        <v>108</v>
      </c>
      <c r="B22" s="28" t="s">
        <v>104</v>
      </c>
      <c r="C22" s="29">
        <v>800</v>
      </c>
      <c r="D22" s="29"/>
      <c r="E22" s="29"/>
      <c r="F22" s="29"/>
      <c r="G22" s="29"/>
      <c r="H22" s="29"/>
      <c r="I22" s="29"/>
      <c r="J22" s="29">
        <f>69+8</f>
        <v>77</v>
      </c>
      <c r="K22" s="29">
        <v>10</v>
      </c>
      <c r="L22" s="29">
        <v>124</v>
      </c>
      <c r="M22" s="30">
        <f t="shared" si="1"/>
        <v>589</v>
      </c>
      <c r="N22" s="31">
        <v>6</v>
      </c>
      <c r="O22" s="32">
        <f t="shared" si="0"/>
        <v>3534</v>
      </c>
      <c r="P22" s="33"/>
    </row>
    <row r="23" spans="1:16" s="11" customFormat="1" ht="26.25" hidden="1" x14ac:dyDescent="0.5">
      <c r="A23" s="28" t="s">
        <v>109</v>
      </c>
      <c r="B23" s="28" t="s">
        <v>110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30">
        <f t="shared" si="1"/>
        <v>0</v>
      </c>
      <c r="N23" s="31">
        <v>4</v>
      </c>
      <c r="O23" s="32">
        <f t="shared" si="0"/>
        <v>0</v>
      </c>
      <c r="P23" s="33"/>
    </row>
    <row r="24" spans="1:16" s="11" customFormat="1" ht="26.25" hidden="1" x14ac:dyDescent="0.5">
      <c r="A24" s="28" t="s">
        <v>109</v>
      </c>
      <c r="B24" s="28" t="s">
        <v>100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30">
        <f t="shared" si="1"/>
        <v>0</v>
      </c>
      <c r="N24" s="31">
        <v>5</v>
      </c>
      <c r="O24" s="32">
        <f t="shared" si="0"/>
        <v>0</v>
      </c>
      <c r="P24" s="33"/>
    </row>
    <row r="25" spans="1:16" s="11" customFormat="1" ht="26.25" hidden="1" x14ac:dyDescent="0.5">
      <c r="A25" s="28" t="s">
        <v>111</v>
      </c>
      <c r="B25" s="28" t="s">
        <v>110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30">
        <f t="shared" si="1"/>
        <v>0</v>
      </c>
      <c r="N25" s="31">
        <v>4</v>
      </c>
      <c r="O25" s="32">
        <f t="shared" si="0"/>
        <v>0</v>
      </c>
      <c r="P25" s="33"/>
    </row>
    <row r="26" spans="1:16" s="11" customFormat="1" ht="26.25" hidden="1" x14ac:dyDescent="0.5">
      <c r="A26" s="28" t="s">
        <v>111</v>
      </c>
      <c r="B26" s="28" t="s">
        <v>112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30">
        <f t="shared" si="1"/>
        <v>0</v>
      </c>
      <c r="N26" s="31">
        <v>5</v>
      </c>
      <c r="O26" s="32">
        <f t="shared" si="0"/>
        <v>0</v>
      </c>
      <c r="P26" s="33"/>
    </row>
    <row r="27" spans="1:16" s="11" customFormat="1" ht="26.25" hidden="1" x14ac:dyDescent="0.5">
      <c r="A27" s="28" t="s">
        <v>113</v>
      </c>
      <c r="B27" s="28" t="s">
        <v>110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30">
        <f t="shared" si="1"/>
        <v>0</v>
      </c>
      <c r="N27" s="31">
        <v>4</v>
      </c>
      <c r="O27" s="32">
        <f t="shared" si="0"/>
        <v>0</v>
      </c>
      <c r="P27" s="33"/>
    </row>
    <row r="28" spans="1:16" s="11" customFormat="1" ht="26.25" hidden="1" x14ac:dyDescent="0.5">
      <c r="A28" s="28" t="s">
        <v>113</v>
      </c>
      <c r="B28" s="28" t="s">
        <v>114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30">
        <f t="shared" si="1"/>
        <v>0</v>
      </c>
      <c r="N28" s="31">
        <v>5</v>
      </c>
      <c r="O28" s="32">
        <f t="shared" si="0"/>
        <v>0</v>
      </c>
      <c r="P28" s="33"/>
    </row>
    <row r="29" spans="1:16" s="11" customFormat="1" ht="26.25" hidden="1" x14ac:dyDescent="0.5">
      <c r="A29" s="28" t="s">
        <v>115</v>
      </c>
      <c r="B29" s="28" t="s">
        <v>110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30">
        <f t="shared" si="1"/>
        <v>0</v>
      </c>
      <c r="N29" s="31">
        <v>4</v>
      </c>
      <c r="O29" s="32">
        <f t="shared" si="0"/>
        <v>0</v>
      </c>
      <c r="P29" s="33"/>
    </row>
    <row r="30" spans="1:16" s="11" customFormat="1" ht="26.25" hidden="1" x14ac:dyDescent="0.5">
      <c r="A30" s="28" t="s">
        <v>115</v>
      </c>
      <c r="B30" s="28" t="s">
        <v>98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30">
        <f t="shared" si="1"/>
        <v>0</v>
      </c>
      <c r="N30" s="31">
        <v>5</v>
      </c>
      <c r="O30" s="32">
        <f t="shared" si="0"/>
        <v>0</v>
      </c>
      <c r="P30" s="33"/>
    </row>
    <row r="31" spans="1:16" s="11" customFormat="1" ht="26.25" hidden="1" x14ac:dyDescent="0.5">
      <c r="A31" s="28" t="s">
        <v>116</v>
      </c>
      <c r="B31" s="28" t="s">
        <v>110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30">
        <f t="shared" si="1"/>
        <v>0</v>
      </c>
      <c r="N31" s="31">
        <v>4</v>
      </c>
      <c r="O31" s="32">
        <f t="shared" si="0"/>
        <v>0</v>
      </c>
      <c r="P31" s="33"/>
    </row>
    <row r="32" spans="1:16" s="11" customFormat="1" ht="26.25" hidden="1" x14ac:dyDescent="0.5">
      <c r="A32" s="28" t="s">
        <v>116</v>
      </c>
      <c r="B32" s="28" t="s">
        <v>117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30">
        <f t="shared" si="1"/>
        <v>0</v>
      </c>
      <c r="N32" s="31">
        <v>5</v>
      </c>
      <c r="O32" s="32">
        <f t="shared" si="0"/>
        <v>0</v>
      </c>
      <c r="P32" s="33"/>
    </row>
    <row r="33" spans="1:16" s="11" customFormat="1" ht="26.25" hidden="1" x14ac:dyDescent="0.5">
      <c r="A33" s="28" t="s">
        <v>118</v>
      </c>
      <c r="B33" s="28" t="s">
        <v>119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30">
        <f t="shared" si="1"/>
        <v>0</v>
      </c>
      <c r="N33" s="31">
        <v>8</v>
      </c>
      <c r="O33" s="32">
        <f t="shared" si="0"/>
        <v>0</v>
      </c>
      <c r="P33" s="33"/>
    </row>
    <row r="34" spans="1:16" s="11" customFormat="1" ht="26.25" x14ac:dyDescent="0.5">
      <c r="A34" s="28" t="s">
        <v>120</v>
      </c>
      <c r="B34" s="28" t="s">
        <v>121</v>
      </c>
      <c r="C34" s="29">
        <v>200</v>
      </c>
      <c r="D34" s="29"/>
      <c r="E34" s="29">
        <v>120</v>
      </c>
      <c r="F34" s="29"/>
      <c r="G34" s="29">
        <v>120</v>
      </c>
      <c r="H34" s="29"/>
      <c r="I34" s="29"/>
      <c r="J34" s="29">
        <v>8</v>
      </c>
      <c r="K34" s="29">
        <v>-28</v>
      </c>
      <c r="L34" s="29">
        <v>47</v>
      </c>
      <c r="M34" s="30">
        <f t="shared" si="1"/>
        <v>413</v>
      </c>
      <c r="N34" s="31">
        <v>6</v>
      </c>
      <c r="O34" s="32">
        <f t="shared" si="0"/>
        <v>2478</v>
      </c>
      <c r="P34" s="33"/>
    </row>
    <row r="35" spans="1:16" s="11" customFormat="1" ht="26.25" hidden="1" x14ac:dyDescent="0.5">
      <c r="A35" s="28" t="s">
        <v>122</v>
      </c>
      <c r="B35" s="28" t="s">
        <v>123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30">
        <f t="shared" si="1"/>
        <v>0</v>
      </c>
      <c r="N35" s="31">
        <v>8</v>
      </c>
      <c r="O35" s="32">
        <f t="shared" si="0"/>
        <v>0</v>
      </c>
      <c r="P35" s="33"/>
    </row>
    <row r="36" spans="1:16" s="11" customFormat="1" ht="26.25" hidden="1" x14ac:dyDescent="0.5">
      <c r="A36" s="28" t="s">
        <v>124</v>
      </c>
      <c r="B36" s="28" t="s">
        <v>125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30">
        <f t="shared" si="1"/>
        <v>0</v>
      </c>
      <c r="N36" s="31">
        <v>6</v>
      </c>
      <c r="O36" s="32">
        <f t="shared" si="0"/>
        <v>0</v>
      </c>
      <c r="P36" s="33"/>
    </row>
    <row r="37" spans="1:16" s="11" customFormat="1" ht="26.25" hidden="1" x14ac:dyDescent="0.5">
      <c r="A37" s="28" t="s">
        <v>126</v>
      </c>
      <c r="B37" s="28" t="s">
        <v>127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30">
        <f t="shared" si="1"/>
        <v>0</v>
      </c>
      <c r="N37" s="31">
        <v>3</v>
      </c>
      <c r="O37" s="32">
        <f t="shared" si="0"/>
        <v>0</v>
      </c>
      <c r="P37" s="33"/>
    </row>
    <row r="38" spans="1:16" s="11" customFormat="1" ht="26.25" hidden="1" x14ac:dyDescent="0.5">
      <c r="A38" s="28" t="s">
        <v>128</v>
      </c>
      <c r="B38" s="28" t="s">
        <v>129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30">
        <f t="shared" si="1"/>
        <v>0</v>
      </c>
      <c r="N38" s="31">
        <v>8</v>
      </c>
      <c r="O38" s="32">
        <f t="shared" si="0"/>
        <v>0</v>
      </c>
      <c r="P38" s="33"/>
    </row>
    <row r="39" spans="1:16" s="11" customFormat="1" ht="26.25" x14ac:dyDescent="0.5">
      <c r="A39" s="28" t="s">
        <v>130</v>
      </c>
      <c r="B39" s="28" t="s">
        <v>131</v>
      </c>
      <c r="C39" s="29">
        <v>1004</v>
      </c>
      <c r="D39" s="29"/>
      <c r="E39" s="29">
        <v>900</v>
      </c>
      <c r="F39" s="29"/>
      <c r="G39" s="29"/>
      <c r="H39" s="29"/>
      <c r="I39" s="29"/>
      <c r="J39" s="29"/>
      <c r="K39" s="29"/>
      <c r="L39" s="29">
        <v>876</v>
      </c>
      <c r="M39" s="30">
        <f t="shared" si="1"/>
        <v>1028</v>
      </c>
      <c r="N39" s="31">
        <v>4</v>
      </c>
      <c r="O39" s="32">
        <f t="shared" si="0"/>
        <v>4112</v>
      </c>
      <c r="P39" s="33"/>
    </row>
    <row r="40" spans="1:16" s="11" customFormat="1" ht="26.25" hidden="1" x14ac:dyDescent="0.5">
      <c r="A40" s="28" t="s">
        <v>132</v>
      </c>
      <c r="B40" s="28" t="s">
        <v>133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30">
        <f t="shared" si="1"/>
        <v>0</v>
      </c>
      <c r="N40" s="31">
        <v>3</v>
      </c>
      <c r="O40" s="32">
        <f t="shared" si="0"/>
        <v>0</v>
      </c>
      <c r="P40" s="33"/>
    </row>
    <row r="41" spans="1:16" s="11" customFormat="1" ht="26.25" hidden="1" x14ac:dyDescent="0.5">
      <c r="A41" s="28" t="s">
        <v>132</v>
      </c>
      <c r="B41" s="28" t="s">
        <v>112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30">
        <f t="shared" si="1"/>
        <v>0</v>
      </c>
      <c r="N41" s="31">
        <v>3</v>
      </c>
      <c r="O41" s="32">
        <f t="shared" si="0"/>
        <v>0</v>
      </c>
      <c r="P41" s="33"/>
    </row>
    <row r="42" spans="1:16" s="11" customFormat="1" ht="26.25" hidden="1" x14ac:dyDescent="0.5">
      <c r="A42" s="28" t="s">
        <v>134</v>
      </c>
      <c r="B42" s="28" t="s">
        <v>133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30">
        <f t="shared" si="1"/>
        <v>0</v>
      </c>
      <c r="N42" s="31">
        <v>4</v>
      </c>
      <c r="O42" s="32">
        <f t="shared" si="0"/>
        <v>0</v>
      </c>
      <c r="P42" s="33"/>
    </row>
    <row r="43" spans="1:16" s="11" customFormat="1" ht="26.25" hidden="1" x14ac:dyDescent="0.5">
      <c r="A43" s="28" t="s">
        <v>134</v>
      </c>
      <c r="B43" s="28" t="s">
        <v>114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30">
        <f t="shared" si="1"/>
        <v>0</v>
      </c>
      <c r="N43" s="31">
        <v>4</v>
      </c>
      <c r="O43" s="32">
        <f t="shared" si="0"/>
        <v>0</v>
      </c>
      <c r="P43" s="33"/>
    </row>
    <row r="44" spans="1:16" s="11" customFormat="1" ht="26.25" hidden="1" x14ac:dyDescent="0.5">
      <c r="A44" s="28" t="s">
        <v>135</v>
      </c>
      <c r="B44" s="28" t="s">
        <v>133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30">
        <f t="shared" si="1"/>
        <v>0</v>
      </c>
      <c r="N44" s="31">
        <v>4</v>
      </c>
      <c r="O44" s="32">
        <f t="shared" si="0"/>
        <v>0</v>
      </c>
      <c r="P44" s="33"/>
    </row>
    <row r="45" spans="1:16" s="11" customFormat="1" ht="26.25" hidden="1" x14ac:dyDescent="0.5">
      <c r="A45" s="28" t="s">
        <v>135</v>
      </c>
      <c r="B45" s="28" t="s">
        <v>98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30">
        <f t="shared" si="1"/>
        <v>0</v>
      </c>
      <c r="N45" s="31">
        <v>4</v>
      </c>
      <c r="O45" s="32">
        <f t="shared" si="0"/>
        <v>0</v>
      </c>
      <c r="P45" s="33"/>
    </row>
    <row r="46" spans="1:16" s="11" customFormat="1" ht="26.25" hidden="1" x14ac:dyDescent="0.5">
      <c r="A46" s="28" t="s">
        <v>136</v>
      </c>
      <c r="B46" s="28" t="s">
        <v>133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30">
        <f t="shared" si="1"/>
        <v>0</v>
      </c>
      <c r="N46" s="31">
        <v>6</v>
      </c>
      <c r="O46" s="32">
        <f t="shared" si="0"/>
        <v>0</v>
      </c>
      <c r="P46" s="33"/>
    </row>
    <row r="47" spans="1:16" s="11" customFormat="1" ht="26.25" hidden="1" x14ac:dyDescent="0.5">
      <c r="A47" s="28" t="s">
        <v>136</v>
      </c>
      <c r="B47" s="28" t="s">
        <v>100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30">
        <f t="shared" si="1"/>
        <v>0</v>
      </c>
      <c r="N47" s="31">
        <v>6</v>
      </c>
      <c r="O47" s="32">
        <f t="shared" si="0"/>
        <v>0</v>
      </c>
      <c r="P47" s="33"/>
    </row>
    <row r="48" spans="1:16" s="11" customFormat="1" ht="26.25" hidden="1" x14ac:dyDescent="0.5">
      <c r="A48" s="28" t="s">
        <v>137</v>
      </c>
      <c r="B48" s="28" t="s">
        <v>138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30">
        <f t="shared" si="1"/>
        <v>0</v>
      </c>
      <c r="N48" s="31">
        <v>7</v>
      </c>
      <c r="O48" s="32">
        <f t="shared" si="0"/>
        <v>0</v>
      </c>
      <c r="P48" s="33"/>
    </row>
    <row r="49" spans="1:16" s="11" customFormat="1" ht="26.25" hidden="1" x14ac:dyDescent="0.5">
      <c r="A49" s="28" t="s">
        <v>139</v>
      </c>
      <c r="B49" s="28" t="s">
        <v>140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30">
        <f t="shared" si="1"/>
        <v>0</v>
      </c>
      <c r="N49" s="31">
        <v>2</v>
      </c>
      <c r="O49" s="32">
        <f t="shared" si="0"/>
        <v>0</v>
      </c>
      <c r="P49" s="33"/>
    </row>
    <row r="50" spans="1:16" s="11" customFormat="1" ht="26.25" x14ac:dyDescent="0.5">
      <c r="A50" s="28" t="s">
        <v>141</v>
      </c>
      <c r="B50" s="28" t="s">
        <v>142</v>
      </c>
      <c r="C50" s="29">
        <v>600</v>
      </c>
      <c r="D50" s="29"/>
      <c r="E50" s="29"/>
      <c r="F50" s="29"/>
      <c r="G50" s="29"/>
      <c r="H50" s="29"/>
      <c r="I50" s="29"/>
      <c r="J50" s="29">
        <f>2+4</f>
        <v>6</v>
      </c>
      <c r="K50" s="29">
        <v>-48</v>
      </c>
      <c r="L50" s="29">
        <v>240</v>
      </c>
      <c r="M50" s="30">
        <f t="shared" si="1"/>
        <v>402</v>
      </c>
      <c r="N50" s="31">
        <v>4</v>
      </c>
      <c r="O50" s="32">
        <f t="shared" si="0"/>
        <v>1608</v>
      </c>
      <c r="P50" s="33"/>
    </row>
    <row r="51" spans="1:16" s="11" customFormat="1" ht="26.25" hidden="1" x14ac:dyDescent="0.5">
      <c r="A51" s="28" t="s">
        <v>143</v>
      </c>
      <c r="B51" s="28" t="s">
        <v>114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30">
        <f t="shared" si="1"/>
        <v>0</v>
      </c>
      <c r="N51" s="31">
        <v>2</v>
      </c>
      <c r="O51" s="32">
        <f t="shared" si="0"/>
        <v>0</v>
      </c>
      <c r="P51" s="33"/>
    </row>
    <row r="52" spans="1:16" s="11" customFormat="1" ht="26.25" hidden="1" x14ac:dyDescent="0.5">
      <c r="A52" s="28" t="s">
        <v>144</v>
      </c>
      <c r="B52" s="28" t="s">
        <v>102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30">
        <f t="shared" si="1"/>
        <v>0</v>
      </c>
      <c r="N52" s="31">
        <v>2</v>
      </c>
      <c r="O52" s="32">
        <f t="shared" si="0"/>
        <v>0</v>
      </c>
      <c r="P52" s="33"/>
    </row>
    <row r="53" spans="1:16" s="11" customFormat="1" ht="26.25" hidden="1" x14ac:dyDescent="0.5">
      <c r="A53" s="28" t="s">
        <v>145</v>
      </c>
      <c r="B53" s="28" t="s">
        <v>142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30">
        <f t="shared" si="1"/>
        <v>0</v>
      </c>
      <c r="N53" s="31">
        <v>6</v>
      </c>
      <c r="O53" s="32">
        <f t="shared" si="0"/>
        <v>0</v>
      </c>
      <c r="P53" s="33"/>
    </row>
    <row r="54" spans="1:16" s="11" customFormat="1" ht="26.25" hidden="1" x14ac:dyDescent="0.5">
      <c r="A54" s="28" t="s">
        <v>145</v>
      </c>
      <c r="B54" s="28" t="s">
        <v>112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30">
        <f t="shared" si="1"/>
        <v>0</v>
      </c>
      <c r="N54" s="31">
        <v>2</v>
      </c>
      <c r="O54" s="32">
        <f t="shared" si="0"/>
        <v>0</v>
      </c>
      <c r="P54" s="33"/>
    </row>
    <row r="55" spans="1:16" s="11" customFormat="1" ht="26.25" hidden="1" x14ac:dyDescent="0.5">
      <c r="A55" s="28" t="s">
        <v>146</v>
      </c>
      <c r="B55" s="28" t="s">
        <v>100</v>
      </c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30">
        <f t="shared" si="1"/>
        <v>0</v>
      </c>
      <c r="N55" s="31">
        <v>2</v>
      </c>
      <c r="O55" s="32">
        <f t="shared" si="0"/>
        <v>0</v>
      </c>
      <c r="P55" s="33"/>
    </row>
    <row r="56" spans="1:16" s="11" customFormat="1" ht="26.25" hidden="1" x14ac:dyDescent="0.5">
      <c r="A56" s="28" t="s">
        <v>147</v>
      </c>
      <c r="B56" s="28" t="s">
        <v>140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30">
        <f t="shared" si="1"/>
        <v>0</v>
      </c>
      <c r="N56" s="31">
        <v>2</v>
      </c>
      <c r="O56" s="32">
        <f t="shared" si="0"/>
        <v>0</v>
      </c>
      <c r="P56" s="33"/>
    </row>
    <row r="57" spans="1:16" s="11" customFormat="1" ht="26.25" hidden="1" x14ac:dyDescent="0.5">
      <c r="A57" s="28" t="s">
        <v>147</v>
      </c>
      <c r="B57" s="28" t="s">
        <v>142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30">
        <f t="shared" si="1"/>
        <v>0</v>
      </c>
      <c r="N57" s="31">
        <v>6</v>
      </c>
      <c r="O57" s="32">
        <f t="shared" si="0"/>
        <v>0</v>
      </c>
      <c r="P57" s="33"/>
    </row>
    <row r="58" spans="1:16" s="11" customFormat="1" ht="26.25" hidden="1" x14ac:dyDescent="0.5">
      <c r="A58" s="28" t="s">
        <v>148</v>
      </c>
      <c r="B58" s="28" t="s">
        <v>98</v>
      </c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30">
        <f t="shared" si="1"/>
        <v>0</v>
      </c>
      <c r="N58" s="31">
        <v>2</v>
      </c>
      <c r="O58" s="32">
        <f t="shared" si="0"/>
        <v>0</v>
      </c>
      <c r="P58" s="33"/>
    </row>
    <row r="59" spans="1:16" s="11" customFormat="1" ht="26.25" hidden="1" x14ac:dyDescent="0.5">
      <c r="A59" s="28" t="s">
        <v>149</v>
      </c>
      <c r="B59" s="28" t="s">
        <v>114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30">
        <f t="shared" si="1"/>
        <v>0</v>
      </c>
      <c r="N59" s="31">
        <v>2</v>
      </c>
      <c r="O59" s="32">
        <f t="shared" si="0"/>
        <v>0</v>
      </c>
      <c r="P59" s="33"/>
    </row>
    <row r="60" spans="1:16" s="11" customFormat="1" ht="26.25" hidden="1" x14ac:dyDescent="0.5">
      <c r="A60" s="28" t="s">
        <v>150</v>
      </c>
      <c r="B60" s="28" t="s">
        <v>100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30">
        <f t="shared" si="1"/>
        <v>0</v>
      </c>
      <c r="N60" s="31">
        <v>2</v>
      </c>
      <c r="O60" s="32">
        <f t="shared" si="0"/>
        <v>0</v>
      </c>
      <c r="P60" s="33"/>
    </row>
    <row r="61" spans="1:16" s="11" customFormat="1" ht="26.25" hidden="1" x14ac:dyDescent="0.5">
      <c r="A61" s="28" t="s">
        <v>151</v>
      </c>
      <c r="B61" s="28" t="s">
        <v>98</v>
      </c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30">
        <f t="shared" si="1"/>
        <v>0</v>
      </c>
      <c r="N61" s="31">
        <v>2</v>
      </c>
      <c r="O61" s="32">
        <f t="shared" si="0"/>
        <v>0</v>
      </c>
      <c r="P61" s="33"/>
    </row>
    <row r="62" spans="1:16" s="11" customFormat="1" ht="26.25" hidden="1" x14ac:dyDescent="0.5">
      <c r="A62" s="28" t="s">
        <v>152</v>
      </c>
      <c r="B62" s="28" t="s">
        <v>153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30">
        <f t="shared" si="1"/>
        <v>0</v>
      </c>
      <c r="N62" s="31">
        <v>5</v>
      </c>
      <c r="O62" s="32">
        <f t="shared" si="0"/>
        <v>0</v>
      </c>
      <c r="P62" s="33"/>
    </row>
    <row r="63" spans="1:16" s="11" customFormat="1" ht="26.25" hidden="1" x14ac:dyDescent="0.5">
      <c r="A63" s="28" t="s">
        <v>154</v>
      </c>
      <c r="B63" s="28" t="s">
        <v>155</v>
      </c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30">
        <f t="shared" si="1"/>
        <v>0</v>
      </c>
      <c r="N63" s="31">
        <v>4</v>
      </c>
      <c r="O63" s="32">
        <f t="shared" si="0"/>
        <v>0</v>
      </c>
      <c r="P63" s="33"/>
    </row>
    <row r="64" spans="1:16" s="11" customFormat="1" ht="26.25" hidden="1" x14ac:dyDescent="0.5">
      <c r="A64" s="28" t="s">
        <v>156</v>
      </c>
      <c r="B64" s="28" t="s">
        <v>157</v>
      </c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30">
        <f t="shared" si="1"/>
        <v>0</v>
      </c>
      <c r="N64" s="31">
        <v>4</v>
      </c>
      <c r="O64" s="32">
        <f t="shared" si="0"/>
        <v>0</v>
      </c>
      <c r="P64" s="33"/>
    </row>
    <row r="65" spans="1:16" s="11" customFormat="1" ht="26.25" hidden="1" x14ac:dyDescent="0.5">
      <c r="A65" s="28" t="s">
        <v>158</v>
      </c>
      <c r="B65" s="28" t="s">
        <v>159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30">
        <f t="shared" si="1"/>
        <v>0</v>
      </c>
      <c r="N65" s="31">
        <v>8</v>
      </c>
      <c r="O65" s="32">
        <f t="shared" si="0"/>
        <v>0</v>
      </c>
      <c r="P65" s="33"/>
    </row>
    <row r="66" spans="1:16" s="11" customFormat="1" ht="26.25" hidden="1" x14ac:dyDescent="0.5">
      <c r="A66" s="28" t="s">
        <v>158</v>
      </c>
      <c r="B66" s="28" t="s">
        <v>114</v>
      </c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30">
        <f t="shared" si="1"/>
        <v>0</v>
      </c>
      <c r="N66" s="31">
        <v>2</v>
      </c>
      <c r="O66" s="32">
        <f t="shared" si="0"/>
        <v>0</v>
      </c>
      <c r="P66" s="33"/>
    </row>
    <row r="67" spans="1:16" s="11" customFormat="1" ht="26.25" hidden="1" x14ac:dyDescent="0.5">
      <c r="A67" s="28" t="s">
        <v>160</v>
      </c>
      <c r="B67" s="28" t="s">
        <v>159</v>
      </c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30">
        <f t="shared" si="1"/>
        <v>0</v>
      </c>
      <c r="N67" s="31">
        <v>8</v>
      </c>
      <c r="O67" s="32">
        <f t="shared" si="0"/>
        <v>0</v>
      </c>
      <c r="P67" s="33"/>
    </row>
    <row r="68" spans="1:16" s="11" customFormat="1" ht="26.25" hidden="1" x14ac:dyDescent="0.5">
      <c r="A68" s="28" t="s">
        <v>160</v>
      </c>
      <c r="B68" s="28" t="s">
        <v>100</v>
      </c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30">
        <f t="shared" si="1"/>
        <v>0</v>
      </c>
      <c r="N68" s="31">
        <v>2</v>
      </c>
      <c r="O68" s="32">
        <f t="shared" si="0"/>
        <v>0</v>
      </c>
      <c r="P68" s="33"/>
    </row>
    <row r="69" spans="1:16" s="11" customFormat="1" ht="26.25" hidden="1" x14ac:dyDescent="0.5">
      <c r="A69" s="28" t="s">
        <v>161</v>
      </c>
      <c r="B69" s="28" t="s">
        <v>159</v>
      </c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30">
        <f t="shared" si="1"/>
        <v>0</v>
      </c>
      <c r="N69" s="31">
        <v>8</v>
      </c>
      <c r="O69" s="32">
        <f t="shared" si="0"/>
        <v>0</v>
      </c>
      <c r="P69" s="33"/>
    </row>
    <row r="70" spans="1:16" s="11" customFormat="1" ht="26.25" hidden="1" x14ac:dyDescent="0.5">
      <c r="A70" s="28" t="s">
        <v>161</v>
      </c>
      <c r="B70" s="28" t="s">
        <v>98</v>
      </c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30">
        <f t="shared" si="1"/>
        <v>0</v>
      </c>
      <c r="N70" s="31">
        <v>2</v>
      </c>
      <c r="O70" s="32">
        <f t="shared" si="0"/>
        <v>0</v>
      </c>
      <c r="P70" s="33"/>
    </row>
    <row r="71" spans="1:16" s="11" customFormat="1" ht="26.25" hidden="1" x14ac:dyDescent="0.5">
      <c r="A71" s="28" t="s">
        <v>162</v>
      </c>
      <c r="B71" s="28" t="s">
        <v>163</v>
      </c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30">
        <f t="shared" si="1"/>
        <v>0</v>
      </c>
      <c r="N71" s="31">
        <v>6</v>
      </c>
      <c r="O71" s="32">
        <f t="shared" ref="O71:O99" si="2">+M71*N71</f>
        <v>0</v>
      </c>
      <c r="P71" s="33"/>
    </row>
    <row r="72" spans="1:16" s="11" customFormat="1" ht="26.25" hidden="1" x14ac:dyDescent="0.5">
      <c r="A72" s="28" t="s">
        <v>164</v>
      </c>
      <c r="B72" s="28" t="s">
        <v>165</v>
      </c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30">
        <f t="shared" ref="M72:M99" si="3">C72+D72+E72+F72+G72+H72-I72-J72-K72-L72</f>
        <v>0</v>
      </c>
      <c r="N72" s="31">
        <v>8</v>
      </c>
      <c r="O72" s="32">
        <f t="shared" si="2"/>
        <v>0</v>
      </c>
      <c r="P72" s="33"/>
    </row>
    <row r="73" spans="1:16" s="11" customFormat="1" ht="26.25" hidden="1" x14ac:dyDescent="0.5">
      <c r="A73" s="28" t="s">
        <v>166</v>
      </c>
      <c r="B73" s="28" t="s">
        <v>167</v>
      </c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30">
        <f t="shared" si="3"/>
        <v>0</v>
      </c>
      <c r="N73" s="31">
        <v>8</v>
      </c>
      <c r="O73" s="32">
        <f t="shared" si="2"/>
        <v>0</v>
      </c>
      <c r="P73" s="33"/>
    </row>
    <row r="74" spans="1:16" s="11" customFormat="1" ht="26.25" hidden="1" x14ac:dyDescent="0.5">
      <c r="A74" s="28" t="s">
        <v>168</v>
      </c>
      <c r="B74" s="28" t="s">
        <v>133</v>
      </c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30">
        <f t="shared" si="3"/>
        <v>0</v>
      </c>
      <c r="N74" s="31">
        <v>8</v>
      </c>
      <c r="O74" s="32">
        <f t="shared" si="2"/>
        <v>0</v>
      </c>
      <c r="P74" s="33"/>
    </row>
    <row r="75" spans="1:16" s="11" customFormat="1" ht="26.25" hidden="1" x14ac:dyDescent="0.5">
      <c r="A75" s="28" t="s">
        <v>169</v>
      </c>
      <c r="B75" s="28" t="s">
        <v>170</v>
      </c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30">
        <f t="shared" si="3"/>
        <v>0</v>
      </c>
      <c r="N75" s="31">
        <v>6</v>
      </c>
      <c r="O75" s="32">
        <f t="shared" si="2"/>
        <v>0</v>
      </c>
      <c r="P75" s="33"/>
    </row>
    <row r="76" spans="1:16" s="11" customFormat="1" ht="26.25" hidden="1" x14ac:dyDescent="0.5">
      <c r="A76" s="28" t="s">
        <v>171</v>
      </c>
      <c r="B76" s="28" t="s">
        <v>172</v>
      </c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30">
        <f t="shared" si="3"/>
        <v>0</v>
      </c>
      <c r="N76" s="31">
        <v>6</v>
      </c>
      <c r="O76" s="32">
        <f t="shared" si="2"/>
        <v>0</v>
      </c>
      <c r="P76" s="33"/>
    </row>
    <row r="77" spans="1:16" s="11" customFormat="1" ht="26.25" hidden="1" x14ac:dyDescent="0.5">
      <c r="A77" s="28" t="s">
        <v>173</v>
      </c>
      <c r="B77" s="28" t="s">
        <v>174</v>
      </c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30">
        <f t="shared" si="3"/>
        <v>0</v>
      </c>
      <c r="N77" s="31">
        <v>6</v>
      </c>
      <c r="O77" s="32">
        <f t="shared" si="2"/>
        <v>0</v>
      </c>
      <c r="P77" s="33"/>
    </row>
    <row r="78" spans="1:16" s="11" customFormat="1" ht="26.25" hidden="1" x14ac:dyDescent="0.5">
      <c r="A78" s="28" t="s">
        <v>175</v>
      </c>
      <c r="B78" s="28" t="s">
        <v>176</v>
      </c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30">
        <f t="shared" si="3"/>
        <v>0</v>
      </c>
      <c r="N78" s="31">
        <v>6</v>
      </c>
      <c r="O78" s="32">
        <f t="shared" si="2"/>
        <v>0</v>
      </c>
      <c r="P78" s="33"/>
    </row>
    <row r="79" spans="1:16" s="11" customFormat="1" ht="26.25" hidden="1" x14ac:dyDescent="0.5">
      <c r="A79" s="28" t="s">
        <v>177</v>
      </c>
      <c r="B79" s="28" t="s">
        <v>178</v>
      </c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30">
        <f t="shared" si="3"/>
        <v>0</v>
      </c>
      <c r="N79" s="31">
        <v>6</v>
      </c>
      <c r="O79" s="32">
        <f t="shared" si="2"/>
        <v>0</v>
      </c>
      <c r="P79" s="33"/>
    </row>
    <row r="80" spans="1:16" s="11" customFormat="1" ht="26.25" hidden="1" x14ac:dyDescent="0.5">
      <c r="A80" s="28" t="s">
        <v>179</v>
      </c>
      <c r="B80" s="28" t="s">
        <v>180</v>
      </c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30">
        <f t="shared" si="3"/>
        <v>0</v>
      </c>
      <c r="N80" s="31">
        <v>3</v>
      </c>
      <c r="O80" s="32">
        <f t="shared" si="2"/>
        <v>0</v>
      </c>
      <c r="P80" s="33"/>
    </row>
    <row r="81" spans="1:16" s="11" customFormat="1" ht="26.25" hidden="1" x14ac:dyDescent="0.5">
      <c r="A81" s="28" t="s">
        <v>181</v>
      </c>
      <c r="B81" s="28" t="s">
        <v>182</v>
      </c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30">
        <f t="shared" si="3"/>
        <v>0</v>
      </c>
      <c r="N81" s="31">
        <v>8</v>
      </c>
      <c r="O81" s="32">
        <f t="shared" si="2"/>
        <v>0</v>
      </c>
      <c r="P81" s="33"/>
    </row>
    <row r="82" spans="1:16" s="11" customFormat="1" ht="26.25" hidden="1" x14ac:dyDescent="0.5">
      <c r="A82" s="28" t="s">
        <v>183</v>
      </c>
      <c r="B82" s="28" t="s">
        <v>184</v>
      </c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30">
        <f t="shared" si="3"/>
        <v>0</v>
      </c>
      <c r="N82" s="31">
        <v>8</v>
      </c>
      <c r="O82" s="32">
        <f t="shared" si="2"/>
        <v>0</v>
      </c>
      <c r="P82" s="33"/>
    </row>
    <row r="83" spans="1:16" s="11" customFormat="1" ht="26.25" hidden="1" x14ac:dyDescent="0.5">
      <c r="A83" s="28" t="s">
        <v>185</v>
      </c>
      <c r="B83" s="28" t="s">
        <v>155</v>
      </c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30">
        <f t="shared" si="3"/>
        <v>0</v>
      </c>
      <c r="N83" s="31">
        <v>4</v>
      </c>
      <c r="O83" s="32">
        <f t="shared" si="2"/>
        <v>0</v>
      </c>
      <c r="P83" s="33"/>
    </row>
    <row r="84" spans="1:16" s="11" customFormat="1" ht="26.25" hidden="1" x14ac:dyDescent="0.5">
      <c r="A84" s="28" t="s">
        <v>186</v>
      </c>
      <c r="B84" s="28" t="s">
        <v>186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30">
        <f t="shared" si="3"/>
        <v>0</v>
      </c>
      <c r="N84" s="31">
        <v>10</v>
      </c>
      <c r="O84" s="32">
        <f t="shared" si="2"/>
        <v>0</v>
      </c>
      <c r="P84" s="33"/>
    </row>
    <row r="85" spans="1:16" s="11" customFormat="1" ht="26.25" hidden="1" x14ac:dyDescent="0.5">
      <c r="A85" s="28" t="s">
        <v>187</v>
      </c>
      <c r="B85" s="28" t="s">
        <v>188</v>
      </c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30">
        <f t="shared" si="3"/>
        <v>0</v>
      </c>
      <c r="N85" s="31">
        <v>2</v>
      </c>
      <c r="O85" s="32">
        <f t="shared" si="2"/>
        <v>0</v>
      </c>
      <c r="P85" s="33"/>
    </row>
    <row r="86" spans="1:16" s="11" customFormat="1" ht="26.25" hidden="1" x14ac:dyDescent="0.5">
      <c r="A86" s="28" t="s">
        <v>189</v>
      </c>
      <c r="B86" s="28" t="s">
        <v>190</v>
      </c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30">
        <f t="shared" si="3"/>
        <v>0</v>
      </c>
      <c r="N86" s="31">
        <v>8</v>
      </c>
      <c r="O86" s="32">
        <f t="shared" si="2"/>
        <v>0</v>
      </c>
      <c r="P86" s="33"/>
    </row>
    <row r="87" spans="1:16" s="11" customFormat="1" ht="26.25" hidden="1" x14ac:dyDescent="0.5">
      <c r="A87" s="28" t="s">
        <v>191</v>
      </c>
      <c r="B87" s="28" t="s">
        <v>190</v>
      </c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30">
        <f t="shared" si="3"/>
        <v>0</v>
      </c>
      <c r="N87" s="31">
        <v>8</v>
      </c>
      <c r="O87" s="32">
        <f t="shared" si="2"/>
        <v>0</v>
      </c>
      <c r="P87" s="33"/>
    </row>
    <row r="88" spans="1:16" s="11" customFormat="1" ht="26.25" hidden="1" x14ac:dyDescent="0.5">
      <c r="A88" s="28">
        <v>0</v>
      </c>
      <c r="B88" s="28">
        <v>0</v>
      </c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30">
        <f t="shared" si="3"/>
        <v>0</v>
      </c>
      <c r="N88" s="31">
        <v>0</v>
      </c>
      <c r="O88" s="32">
        <f t="shared" si="2"/>
        <v>0</v>
      </c>
      <c r="P88" s="33"/>
    </row>
    <row r="89" spans="1:16" s="11" customFormat="1" ht="26.25" hidden="1" x14ac:dyDescent="0.5">
      <c r="A89" s="28">
        <v>0</v>
      </c>
      <c r="B89" s="28">
        <v>0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30">
        <f t="shared" si="3"/>
        <v>0</v>
      </c>
      <c r="N89" s="31">
        <v>0</v>
      </c>
      <c r="O89" s="32">
        <f t="shared" si="2"/>
        <v>0</v>
      </c>
      <c r="P89" s="33"/>
    </row>
    <row r="90" spans="1:16" s="11" customFormat="1" ht="26.25" hidden="1" x14ac:dyDescent="0.5">
      <c r="A90" s="28">
        <v>0</v>
      </c>
      <c r="B90" s="28">
        <v>0</v>
      </c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30">
        <f t="shared" si="3"/>
        <v>0</v>
      </c>
      <c r="N90" s="31">
        <v>0</v>
      </c>
      <c r="O90" s="32">
        <f t="shared" si="2"/>
        <v>0</v>
      </c>
      <c r="P90" s="33"/>
    </row>
    <row r="91" spans="1:16" s="11" customFormat="1" ht="26.25" hidden="1" x14ac:dyDescent="0.5">
      <c r="A91" s="28">
        <v>0</v>
      </c>
      <c r="B91" s="28">
        <v>0</v>
      </c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30">
        <f t="shared" si="3"/>
        <v>0</v>
      </c>
      <c r="N91" s="31">
        <v>0</v>
      </c>
      <c r="O91" s="32">
        <f t="shared" si="2"/>
        <v>0</v>
      </c>
      <c r="P91" s="33"/>
    </row>
    <row r="92" spans="1:16" s="11" customFormat="1" ht="26.25" hidden="1" x14ac:dyDescent="0.5">
      <c r="A92" s="28">
        <v>0</v>
      </c>
      <c r="B92" s="28">
        <v>0</v>
      </c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30">
        <f t="shared" si="3"/>
        <v>0</v>
      </c>
      <c r="N92" s="31">
        <v>0</v>
      </c>
      <c r="O92" s="32">
        <f t="shared" si="2"/>
        <v>0</v>
      </c>
      <c r="P92" s="33"/>
    </row>
    <row r="93" spans="1:16" s="11" customFormat="1" ht="26.25" hidden="1" x14ac:dyDescent="0.5">
      <c r="A93" s="28">
        <v>0</v>
      </c>
      <c r="B93" s="28">
        <v>0</v>
      </c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30">
        <f t="shared" si="3"/>
        <v>0</v>
      </c>
      <c r="N93" s="31">
        <v>0</v>
      </c>
      <c r="O93" s="32">
        <f t="shared" si="2"/>
        <v>0</v>
      </c>
      <c r="P93" s="33"/>
    </row>
    <row r="94" spans="1:16" s="11" customFormat="1" ht="26.25" hidden="1" x14ac:dyDescent="0.5">
      <c r="A94" s="28">
        <v>0</v>
      </c>
      <c r="B94" s="28">
        <v>0</v>
      </c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30">
        <f t="shared" si="3"/>
        <v>0</v>
      </c>
      <c r="N94" s="31">
        <v>0</v>
      </c>
      <c r="O94" s="32">
        <f t="shared" si="2"/>
        <v>0</v>
      </c>
      <c r="P94" s="33"/>
    </row>
    <row r="95" spans="1:16" s="11" customFormat="1" ht="26.25" hidden="1" x14ac:dyDescent="0.5">
      <c r="A95" s="28">
        <v>0</v>
      </c>
      <c r="B95" s="28">
        <v>0</v>
      </c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30">
        <f t="shared" si="3"/>
        <v>0</v>
      </c>
      <c r="N95" s="31">
        <v>0</v>
      </c>
      <c r="O95" s="32">
        <f t="shared" si="2"/>
        <v>0</v>
      </c>
      <c r="P95" s="33"/>
    </row>
    <row r="96" spans="1:16" s="11" customFormat="1" ht="26.25" hidden="1" x14ac:dyDescent="0.5">
      <c r="A96" s="28">
        <v>0</v>
      </c>
      <c r="B96" s="28">
        <v>0</v>
      </c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30">
        <f t="shared" si="3"/>
        <v>0</v>
      </c>
      <c r="N96" s="31">
        <v>0</v>
      </c>
      <c r="O96" s="32">
        <f t="shared" si="2"/>
        <v>0</v>
      </c>
      <c r="P96" s="33"/>
    </row>
    <row r="97" spans="1:21" s="11" customFormat="1" ht="26.25" hidden="1" x14ac:dyDescent="0.5">
      <c r="A97" s="28">
        <v>0</v>
      </c>
      <c r="B97" s="28">
        <v>0</v>
      </c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30">
        <f t="shared" si="3"/>
        <v>0</v>
      </c>
      <c r="N97" s="31">
        <v>0</v>
      </c>
      <c r="O97" s="32">
        <f t="shared" si="2"/>
        <v>0</v>
      </c>
      <c r="P97" s="33"/>
    </row>
    <row r="98" spans="1:21" s="11" customFormat="1" ht="26.25" hidden="1" x14ac:dyDescent="0.5">
      <c r="A98" s="28">
        <v>0</v>
      </c>
      <c r="B98" s="28">
        <v>0</v>
      </c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30">
        <f t="shared" si="3"/>
        <v>0</v>
      </c>
      <c r="N98" s="31">
        <v>0</v>
      </c>
      <c r="O98" s="32">
        <f t="shared" si="2"/>
        <v>0</v>
      </c>
      <c r="P98" s="33"/>
    </row>
    <row r="99" spans="1:21" s="11" customFormat="1" ht="26.25" hidden="1" x14ac:dyDescent="0.5">
      <c r="A99" s="28">
        <v>0</v>
      </c>
      <c r="B99" s="28">
        <v>0</v>
      </c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30">
        <f t="shared" si="3"/>
        <v>0</v>
      </c>
      <c r="N99" s="31">
        <v>0</v>
      </c>
      <c r="O99" s="32">
        <f t="shared" si="2"/>
        <v>0</v>
      </c>
      <c r="P99" s="33"/>
    </row>
    <row r="100" spans="1:21" s="11" customFormat="1" ht="26.25" x14ac:dyDescent="0.5">
      <c r="A100" s="22" t="s">
        <v>192</v>
      </c>
      <c r="B100" s="22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5"/>
      <c r="N100" s="36"/>
      <c r="O100" s="37"/>
      <c r="P100" s="33"/>
    </row>
    <row r="101" spans="1:21" s="11" customFormat="1" ht="26.25" x14ac:dyDescent="0.5">
      <c r="A101" s="28" t="s">
        <v>193</v>
      </c>
      <c r="B101" s="28" t="s">
        <v>194</v>
      </c>
      <c r="C101" s="29">
        <v>19</v>
      </c>
      <c r="D101" s="29">
        <v>11</v>
      </c>
      <c r="E101" s="29"/>
      <c r="F101" s="29">
        <v>12</v>
      </c>
      <c r="G101" s="29"/>
      <c r="H101" s="29"/>
      <c r="I101" s="29"/>
      <c r="J101" s="29"/>
      <c r="K101" s="29"/>
      <c r="L101" s="29">
        <v>5</v>
      </c>
      <c r="M101" s="30">
        <f t="shared" ref="M101:M147" si="4">C101+D101+E101+F101+G101+H101-I101-J101-K101-L101</f>
        <v>37</v>
      </c>
      <c r="N101" s="31">
        <v>5</v>
      </c>
      <c r="O101" s="32">
        <f t="shared" ref="O101:O176" si="5">+M101*N101</f>
        <v>185</v>
      </c>
      <c r="P101" s="33"/>
    </row>
    <row r="102" spans="1:21" s="11" customFormat="1" ht="26.25" hidden="1" x14ac:dyDescent="0.5">
      <c r="A102" s="28" t="s">
        <v>195</v>
      </c>
      <c r="B102" s="28" t="s">
        <v>196</v>
      </c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30">
        <f t="shared" si="4"/>
        <v>0</v>
      </c>
      <c r="N102" s="31">
        <v>2</v>
      </c>
      <c r="O102" s="32">
        <f t="shared" si="5"/>
        <v>0</v>
      </c>
      <c r="P102" s="33"/>
    </row>
    <row r="103" spans="1:21" s="11" customFormat="1" ht="26.25" hidden="1" x14ac:dyDescent="0.5">
      <c r="A103" s="28" t="s">
        <v>197</v>
      </c>
      <c r="B103" s="28" t="s">
        <v>196</v>
      </c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30">
        <f t="shared" si="4"/>
        <v>0</v>
      </c>
      <c r="N103" s="31">
        <v>2</v>
      </c>
      <c r="O103" s="32">
        <f t="shared" si="5"/>
        <v>0</v>
      </c>
      <c r="P103" s="33"/>
    </row>
    <row r="104" spans="1:21" s="11" customFormat="1" ht="26.25" hidden="1" x14ac:dyDescent="0.5">
      <c r="A104" s="28" t="s">
        <v>198</v>
      </c>
      <c r="B104" s="28" t="s">
        <v>167</v>
      </c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30">
        <f t="shared" si="4"/>
        <v>0</v>
      </c>
      <c r="N104" s="31">
        <v>8</v>
      </c>
      <c r="O104" s="32">
        <f t="shared" si="5"/>
        <v>0</v>
      </c>
      <c r="P104" s="33"/>
      <c r="R104" s="13"/>
      <c r="S104" s="13"/>
      <c r="T104" s="13"/>
      <c r="U104" s="13"/>
    </row>
    <row r="105" spans="1:21" s="11" customFormat="1" ht="26.25" hidden="1" x14ac:dyDescent="0.5">
      <c r="A105" s="28" t="s">
        <v>199</v>
      </c>
      <c r="B105" s="28" t="s">
        <v>200</v>
      </c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30">
        <f t="shared" si="4"/>
        <v>0</v>
      </c>
      <c r="N105" s="31">
        <v>6</v>
      </c>
      <c r="O105" s="32">
        <f t="shared" si="5"/>
        <v>0</v>
      </c>
      <c r="P105" s="33"/>
      <c r="R105" s="13"/>
      <c r="S105" s="13"/>
      <c r="T105" s="13"/>
      <c r="U105" s="13"/>
    </row>
    <row r="106" spans="1:21" s="11" customFormat="1" ht="26.25" hidden="1" x14ac:dyDescent="0.5">
      <c r="A106" s="28" t="s">
        <v>201</v>
      </c>
      <c r="B106" s="28" t="s">
        <v>167</v>
      </c>
      <c r="C106" s="29"/>
      <c r="D106" s="29"/>
      <c r="E106" s="29"/>
      <c r="F106" s="29"/>
      <c r="G106" s="29"/>
      <c r="H106" s="29"/>
      <c r="I106" s="38"/>
      <c r="J106" s="29"/>
      <c r="K106" s="29"/>
      <c r="L106" s="29"/>
      <c r="M106" s="30">
        <f t="shared" si="4"/>
        <v>0</v>
      </c>
      <c r="N106" s="31">
        <v>9</v>
      </c>
      <c r="O106" s="32">
        <f t="shared" si="5"/>
        <v>0</v>
      </c>
      <c r="P106" s="33"/>
      <c r="R106" s="13"/>
      <c r="S106" s="13"/>
      <c r="T106" s="13"/>
      <c r="U106" s="13"/>
    </row>
    <row r="107" spans="1:21" s="11" customFormat="1" ht="26.25" hidden="1" x14ac:dyDescent="0.5">
      <c r="A107" s="28" t="s">
        <v>202</v>
      </c>
      <c r="B107" s="28" t="s">
        <v>167</v>
      </c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30">
        <f t="shared" si="4"/>
        <v>0</v>
      </c>
      <c r="N107" s="31">
        <v>10</v>
      </c>
      <c r="O107" s="32">
        <f t="shared" si="5"/>
        <v>0</v>
      </c>
      <c r="P107" s="33"/>
      <c r="R107" s="13"/>
      <c r="S107" s="13"/>
      <c r="T107" s="13"/>
      <c r="U107" s="13"/>
    </row>
    <row r="108" spans="1:21" s="11" customFormat="1" ht="26.25" x14ac:dyDescent="0.5">
      <c r="A108" s="28" t="s">
        <v>203</v>
      </c>
      <c r="B108" s="28" t="s">
        <v>196</v>
      </c>
      <c r="C108" s="29">
        <v>36</v>
      </c>
      <c r="D108" s="29">
        <v>36</v>
      </c>
      <c r="E108" s="29"/>
      <c r="F108" s="29"/>
      <c r="G108" s="29"/>
      <c r="H108" s="29"/>
      <c r="I108" s="29"/>
      <c r="J108" s="29"/>
      <c r="K108" s="29"/>
      <c r="L108" s="29">
        <v>29</v>
      </c>
      <c r="M108" s="30">
        <f t="shared" si="4"/>
        <v>43</v>
      </c>
      <c r="N108" s="31">
        <v>5</v>
      </c>
      <c r="O108" s="32">
        <f t="shared" si="5"/>
        <v>215</v>
      </c>
      <c r="P108" s="33"/>
      <c r="R108" s="13"/>
      <c r="S108" s="13"/>
      <c r="T108" s="13"/>
      <c r="U108" s="13"/>
    </row>
    <row r="109" spans="1:21" s="11" customFormat="1" ht="26.25" hidden="1" x14ac:dyDescent="0.5">
      <c r="A109" s="28" t="s">
        <v>204</v>
      </c>
      <c r="B109" s="28" t="s">
        <v>196</v>
      </c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30">
        <f t="shared" si="4"/>
        <v>0</v>
      </c>
      <c r="N109" s="31">
        <v>5</v>
      </c>
      <c r="O109" s="32">
        <f t="shared" si="5"/>
        <v>0</v>
      </c>
      <c r="P109" s="33"/>
      <c r="R109" s="13"/>
      <c r="S109" s="13"/>
      <c r="T109" s="13"/>
      <c r="U109" s="13"/>
    </row>
    <row r="110" spans="1:21" s="11" customFormat="1" ht="26.25" hidden="1" x14ac:dyDescent="0.5">
      <c r="A110" s="28" t="s">
        <v>205</v>
      </c>
      <c r="B110" s="28" t="s">
        <v>206</v>
      </c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30">
        <f t="shared" si="4"/>
        <v>0</v>
      </c>
      <c r="N110" s="31">
        <v>4</v>
      </c>
      <c r="O110" s="32">
        <f t="shared" si="5"/>
        <v>0</v>
      </c>
      <c r="P110" s="33"/>
      <c r="R110" s="13"/>
      <c r="S110" s="13"/>
      <c r="T110" s="13"/>
      <c r="U110" s="13"/>
    </row>
    <row r="111" spans="1:21" s="11" customFormat="1" ht="26.25" hidden="1" x14ac:dyDescent="0.5">
      <c r="A111" s="28" t="s">
        <v>207</v>
      </c>
      <c r="B111" s="28" t="s">
        <v>207</v>
      </c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30">
        <f t="shared" si="4"/>
        <v>0</v>
      </c>
      <c r="N111" s="31">
        <v>5</v>
      </c>
      <c r="O111" s="32">
        <f t="shared" si="5"/>
        <v>0</v>
      </c>
      <c r="P111" s="33"/>
      <c r="R111" s="13"/>
      <c r="S111" s="13"/>
      <c r="T111" s="13"/>
      <c r="U111" s="13"/>
    </row>
    <row r="112" spans="1:21" s="11" customFormat="1" ht="26.25" hidden="1" x14ac:dyDescent="0.5">
      <c r="A112" s="28" t="s">
        <v>208</v>
      </c>
      <c r="B112" s="28" t="s">
        <v>209</v>
      </c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30">
        <f t="shared" si="4"/>
        <v>0</v>
      </c>
      <c r="N112" s="31">
        <v>0</v>
      </c>
      <c r="O112" s="32">
        <f t="shared" si="5"/>
        <v>0</v>
      </c>
      <c r="P112" s="33"/>
      <c r="R112" s="13"/>
      <c r="S112" s="13"/>
      <c r="T112" s="13"/>
      <c r="U112" s="13"/>
    </row>
    <row r="113" spans="1:21" s="11" customFormat="1" ht="26.25" hidden="1" x14ac:dyDescent="0.5">
      <c r="A113" s="28">
        <v>0</v>
      </c>
      <c r="B113" s="28">
        <v>0</v>
      </c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30">
        <f t="shared" si="4"/>
        <v>0</v>
      </c>
      <c r="N113" s="31">
        <v>0</v>
      </c>
      <c r="O113" s="32">
        <f t="shared" si="5"/>
        <v>0</v>
      </c>
      <c r="P113" s="33"/>
      <c r="R113" s="13"/>
      <c r="S113" s="13"/>
      <c r="T113" s="13"/>
      <c r="U113" s="13"/>
    </row>
    <row r="114" spans="1:21" s="11" customFormat="1" ht="26.25" hidden="1" x14ac:dyDescent="0.5">
      <c r="A114" s="28">
        <v>0</v>
      </c>
      <c r="B114" s="28">
        <v>0</v>
      </c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30">
        <f t="shared" si="4"/>
        <v>0</v>
      </c>
      <c r="N114" s="31">
        <v>0</v>
      </c>
      <c r="O114" s="32">
        <f t="shared" si="5"/>
        <v>0</v>
      </c>
      <c r="P114" s="33"/>
      <c r="R114" s="13"/>
      <c r="S114" s="13"/>
      <c r="T114" s="13"/>
      <c r="U114" s="13"/>
    </row>
    <row r="115" spans="1:21" s="11" customFormat="1" ht="26.25" hidden="1" x14ac:dyDescent="0.5">
      <c r="A115" s="28">
        <v>0</v>
      </c>
      <c r="B115" s="28">
        <v>0</v>
      </c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30">
        <f t="shared" si="4"/>
        <v>0</v>
      </c>
      <c r="N115" s="31">
        <v>0</v>
      </c>
      <c r="O115" s="32">
        <f t="shared" si="5"/>
        <v>0</v>
      </c>
      <c r="P115" s="33"/>
      <c r="R115" s="13"/>
      <c r="S115" s="13"/>
      <c r="T115" s="13"/>
      <c r="U115" s="13"/>
    </row>
    <row r="116" spans="1:21" s="11" customFormat="1" ht="26.25" hidden="1" x14ac:dyDescent="0.5">
      <c r="A116" s="28">
        <v>0</v>
      </c>
      <c r="B116" s="28">
        <v>0</v>
      </c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30">
        <f t="shared" si="4"/>
        <v>0</v>
      </c>
      <c r="N116" s="31">
        <v>0</v>
      </c>
      <c r="O116" s="32">
        <f t="shared" si="5"/>
        <v>0</v>
      </c>
      <c r="P116" s="33"/>
      <c r="Q116" s="39"/>
      <c r="R116" s="13"/>
      <c r="S116" s="13"/>
      <c r="T116" s="13"/>
      <c r="U116" s="13"/>
    </row>
    <row r="117" spans="1:21" s="11" customFormat="1" ht="26.25" hidden="1" x14ac:dyDescent="0.5">
      <c r="A117" s="28">
        <v>0</v>
      </c>
      <c r="B117" s="28">
        <v>0</v>
      </c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30">
        <f t="shared" si="4"/>
        <v>0</v>
      </c>
      <c r="N117" s="31">
        <v>0</v>
      </c>
      <c r="O117" s="32">
        <f t="shared" si="5"/>
        <v>0</v>
      </c>
      <c r="P117" s="33"/>
      <c r="Q117" s="39"/>
      <c r="R117" s="13"/>
      <c r="S117" s="13"/>
      <c r="T117" s="13"/>
      <c r="U117" s="13"/>
    </row>
    <row r="118" spans="1:21" s="11" customFormat="1" ht="26.25" hidden="1" x14ac:dyDescent="0.5">
      <c r="A118" s="28">
        <v>0</v>
      </c>
      <c r="B118" s="28">
        <v>0</v>
      </c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30">
        <f t="shared" si="4"/>
        <v>0</v>
      </c>
      <c r="N118" s="31">
        <v>0</v>
      </c>
      <c r="O118" s="32">
        <f t="shared" si="5"/>
        <v>0</v>
      </c>
      <c r="P118" s="33"/>
      <c r="Q118" s="39"/>
      <c r="R118" s="13"/>
      <c r="S118" s="13"/>
      <c r="T118" s="13"/>
      <c r="U118" s="13"/>
    </row>
    <row r="119" spans="1:21" s="11" customFormat="1" ht="26.25" hidden="1" x14ac:dyDescent="0.5">
      <c r="A119" s="28">
        <v>0</v>
      </c>
      <c r="B119" s="28">
        <v>0</v>
      </c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30">
        <f t="shared" si="4"/>
        <v>0</v>
      </c>
      <c r="N119" s="31">
        <v>0</v>
      </c>
      <c r="O119" s="32">
        <f t="shared" si="5"/>
        <v>0</v>
      </c>
      <c r="P119" s="33"/>
      <c r="Q119" s="39"/>
      <c r="R119" s="13"/>
      <c r="S119" s="13"/>
      <c r="T119" s="13"/>
      <c r="U119" s="13"/>
    </row>
    <row r="120" spans="1:21" s="11" customFormat="1" ht="26.25" x14ac:dyDescent="0.5">
      <c r="A120" s="22" t="s">
        <v>210</v>
      </c>
      <c r="B120" s="22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5"/>
      <c r="N120" s="36"/>
      <c r="O120" s="37"/>
      <c r="P120" s="33"/>
      <c r="Q120" s="39"/>
      <c r="R120" s="13"/>
      <c r="S120" s="13"/>
      <c r="T120" s="13"/>
      <c r="U120" s="13"/>
    </row>
    <row r="121" spans="1:21" s="11" customFormat="1" ht="26.25" hidden="1" x14ac:dyDescent="0.5">
      <c r="A121" s="28" t="s">
        <v>211</v>
      </c>
      <c r="B121" s="28" t="s">
        <v>212</v>
      </c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30">
        <f t="shared" si="4"/>
        <v>0</v>
      </c>
      <c r="N121" s="31">
        <v>3</v>
      </c>
      <c r="O121" s="32">
        <f t="shared" si="5"/>
        <v>0</v>
      </c>
      <c r="P121" s="33"/>
      <c r="Q121" s="39"/>
      <c r="R121" s="13"/>
      <c r="S121" s="13"/>
      <c r="T121" s="13"/>
      <c r="U121" s="13"/>
    </row>
    <row r="122" spans="1:21" s="11" customFormat="1" ht="26.25" hidden="1" x14ac:dyDescent="0.5">
      <c r="A122" s="28" t="s">
        <v>213</v>
      </c>
      <c r="B122" s="28" t="s">
        <v>212</v>
      </c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30">
        <f t="shared" si="4"/>
        <v>0</v>
      </c>
      <c r="N122" s="31">
        <v>3</v>
      </c>
      <c r="O122" s="32">
        <f t="shared" si="5"/>
        <v>0</v>
      </c>
      <c r="P122" s="33"/>
      <c r="Q122" s="39"/>
      <c r="R122" s="13"/>
      <c r="S122" s="13"/>
      <c r="T122" s="13"/>
      <c r="U122" s="13"/>
    </row>
    <row r="123" spans="1:21" s="11" customFormat="1" ht="26.25" hidden="1" x14ac:dyDescent="0.5">
      <c r="A123" s="28" t="s">
        <v>214</v>
      </c>
      <c r="B123" s="28" t="s">
        <v>212</v>
      </c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30">
        <f t="shared" si="4"/>
        <v>0</v>
      </c>
      <c r="N123" s="31">
        <v>3</v>
      </c>
      <c r="O123" s="32">
        <f t="shared" si="5"/>
        <v>0</v>
      </c>
      <c r="P123" s="33"/>
      <c r="Q123" s="39"/>
      <c r="R123" s="13"/>
      <c r="S123" s="13"/>
      <c r="T123" s="13"/>
      <c r="U123" s="13"/>
    </row>
    <row r="124" spans="1:21" s="11" customFormat="1" ht="26.25" hidden="1" x14ac:dyDescent="0.5">
      <c r="A124" s="28">
        <v>0</v>
      </c>
      <c r="B124" s="28">
        <v>0</v>
      </c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30">
        <f t="shared" si="4"/>
        <v>0</v>
      </c>
      <c r="N124" s="31">
        <v>0</v>
      </c>
      <c r="O124" s="32">
        <f t="shared" si="5"/>
        <v>0</v>
      </c>
      <c r="P124" s="33"/>
      <c r="Q124" s="39"/>
      <c r="R124" s="13"/>
      <c r="S124" s="13"/>
      <c r="T124" s="13"/>
      <c r="U124" s="13"/>
    </row>
    <row r="125" spans="1:21" s="11" customFormat="1" ht="26.25" hidden="1" x14ac:dyDescent="0.5">
      <c r="A125" s="28">
        <v>0</v>
      </c>
      <c r="B125" s="28">
        <v>0</v>
      </c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30">
        <f t="shared" si="4"/>
        <v>0</v>
      </c>
      <c r="N125" s="31">
        <v>0</v>
      </c>
      <c r="O125" s="32">
        <f t="shared" si="5"/>
        <v>0</v>
      </c>
      <c r="P125" s="33"/>
      <c r="Q125" s="39"/>
      <c r="R125" s="13"/>
      <c r="S125" s="13"/>
      <c r="T125" s="13"/>
      <c r="U125" s="13"/>
    </row>
    <row r="126" spans="1:21" s="11" customFormat="1" ht="26.25" hidden="1" x14ac:dyDescent="0.5">
      <c r="A126" s="28">
        <v>0</v>
      </c>
      <c r="B126" s="28">
        <v>0</v>
      </c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30">
        <f t="shared" si="4"/>
        <v>0</v>
      </c>
      <c r="N126" s="31">
        <v>0</v>
      </c>
      <c r="O126" s="32">
        <f t="shared" si="5"/>
        <v>0</v>
      </c>
      <c r="P126" s="33"/>
      <c r="Q126" s="39"/>
      <c r="R126" s="13"/>
      <c r="S126" s="13"/>
      <c r="T126" s="13"/>
      <c r="U126" s="13"/>
    </row>
    <row r="127" spans="1:21" s="11" customFormat="1" ht="26.25" hidden="1" x14ac:dyDescent="0.5">
      <c r="A127" s="28">
        <v>0</v>
      </c>
      <c r="B127" s="28">
        <v>0</v>
      </c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30">
        <f t="shared" si="4"/>
        <v>0</v>
      </c>
      <c r="N127" s="31">
        <v>0</v>
      </c>
      <c r="O127" s="32">
        <f t="shared" si="5"/>
        <v>0</v>
      </c>
      <c r="P127" s="33"/>
      <c r="Q127" s="39"/>
      <c r="R127" s="13"/>
      <c r="S127" s="13"/>
      <c r="T127" s="13"/>
      <c r="U127" s="13"/>
    </row>
    <row r="128" spans="1:21" s="11" customFormat="1" ht="26.25" hidden="1" x14ac:dyDescent="0.5">
      <c r="A128" s="28">
        <v>0</v>
      </c>
      <c r="B128" s="28">
        <v>0</v>
      </c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30">
        <f t="shared" si="4"/>
        <v>0</v>
      </c>
      <c r="N128" s="31">
        <v>0</v>
      </c>
      <c r="O128" s="32">
        <f t="shared" si="5"/>
        <v>0</v>
      </c>
      <c r="P128" s="33"/>
      <c r="Q128" s="39"/>
      <c r="R128" s="13"/>
      <c r="S128" s="13"/>
      <c r="T128" s="13"/>
      <c r="U128" s="13"/>
    </row>
    <row r="129" spans="1:21" s="11" customFormat="1" ht="26.25" hidden="1" x14ac:dyDescent="0.5">
      <c r="A129" s="28">
        <v>0</v>
      </c>
      <c r="B129" s="28">
        <v>0</v>
      </c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30">
        <f t="shared" si="4"/>
        <v>0</v>
      </c>
      <c r="N129" s="31">
        <v>0</v>
      </c>
      <c r="O129" s="32">
        <f t="shared" si="5"/>
        <v>0</v>
      </c>
      <c r="P129" s="33"/>
      <c r="Q129" s="39"/>
      <c r="R129" s="13"/>
      <c r="S129" s="13"/>
      <c r="T129" s="13"/>
      <c r="U129" s="13"/>
    </row>
    <row r="130" spans="1:21" s="11" customFormat="1" ht="26.25" x14ac:dyDescent="0.5">
      <c r="A130" s="22" t="s">
        <v>215</v>
      </c>
      <c r="B130" s="22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5"/>
      <c r="N130" s="36"/>
      <c r="O130" s="37"/>
      <c r="P130" s="33"/>
      <c r="Q130" s="39"/>
      <c r="R130" s="13"/>
      <c r="S130" s="13"/>
      <c r="T130" s="13"/>
      <c r="U130" s="13"/>
    </row>
    <row r="131" spans="1:21" s="11" customFormat="1" ht="26.25" x14ac:dyDescent="0.5">
      <c r="A131" s="28" t="s">
        <v>216</v>
      </c>
      <c r="B131" s="28" t="s">
        <v>217</v>
      </c>
      <c r="C131" s="29">
        <v>240</v>
      </c>
      <c r="D131" s="29">
        <v>24</v>
      </c>
      <c r="E131" s="29">
        <v>72</v>
      </c>
      <c r="F131" s="29"/>
      <c r="G131" s="29"/>
      <c r="H131" s="29"/>
      <c r="I131" s="29"/>
      <c r="J131" s="29"/>
      <c r="K131" s="29"/>
      <c r="L131" s="29">
        <v>0</v>
      </c>
      <c r="M131" s="30">
        <f t="shared" si="4"/>
        <v>336</v>
      </c>
      <c r="N131" s="31">
        <v>4</v>
      </c>
      <c r="O131" s="32">
        <f t="shared" si="5"/>
        <v>1344</v>
      </c>
      <c r="P131" s="33"/>
      <c r="Q131" s="39"/>
      <c r="R131" s="13"/>
      <c r="S131" s="13"/>
      <c r="T131" s="13"/>
      <c r="U131" s="13"/>
    </row>
    <row r="132" spans="1:21" s="11" customFormat="1" ht="26.25" x14ac:dyDescent="0.5">
      <c r="A132" s="28" t="s">
        <v>218</v>
      </c>
      <c r="B132" s="28" t="s">
        <v>217</v>
      </c>
      <c r="C132" s="29">
        <v>144</v>
      </c>
      <c r="D132" s="29"/>
      <c r="E132" s="29">
        <v>48</v>
      </c>
      <c r="F132" s="29"/>
      <c r="G132" s="29">
        <v>240</v>
      </c>
      <c r="H132" s="29"/>
      <c r="I132" s="29"/>
      <c r="J132" s="29"/>
      <c r="K132" s="29"/>
      <c r="L132" s="29">
        <v>96</v>
      </c>
      <c r="M132" s="30">
        <f t="shared" si="4"/>
        <v>336</v>
      </c>
      <c r="N132" s="31">
        <v>4</v>
      </c>
      <c r="O132" s="32">
        <f t="shared" si="5"/>
        <v>1344</v>
      </c>
      <c r="P132" s="33"/>
      <c r="Q132" s="39"/>
      <c r="R132" s="13"/>
      <c r="S132" s="13"/>
      <c r="T132" s="13"/>
      <c r="U132" s="13"/>
    </row>
    <row r="133" spans="1:21" s="11" customFormat="1" ht="26.25" x14ac:dyDescent="0.5">
      <c r="A133" s="28" t="s">
        <v>219</v>
      </c>
      <c r="B133" s="28" t="s">
        <v>217</v>
      </c>
      <c r="C133" s="29">
        <v>72</v>
      </c>
      <c r="D133" s="29"/>
      <c r="E133" s="29">
        <v>24</v>
      </c>
      <c r="F133" s="29"/>
      <c r="G133" s="29"/>
      <c r="H133" s="29">
        <v>96</v>
      </c>
      <c r="I133" s="29"/>
      <c r="J133" s="29"/>
      <c r="K133" s="29"/>
      <c r="L133" s="29">
        <v>116</v>
      </c>
      <c r="M133" s="30">
        <f t="shared" si="4"/>
        <v>76</v>
      </c>
      <c r="N133" s="31">
        <v>4</v>
      </c>
      <c r="O133" s="32">
        <f t="shared" si="5"/>
        <v>304</v>
      </c>
      <c r="P133" s="33"/>
      <c r="Q133" s="39"/>
      <c r="R133" s="13"/>
      <c r="S133" s="13"/>
      <c r="T133" s="13"/>
      <c r="U133" s="13"/>
    </row>
    <row r="134" spans="1:21" s="11" customFormat="1" ht="26.25" x14ac:dyDescent="0.5">
      <c r="A134" s="28" t="s">
        <v>220</v>
      </c>
      <c r="B134" s="28" t="s">
        <v>217</v>
      </c>
      <c r="C134" s="29">
        <v>144</v>
      </c>
      <c r="D134" s="29"/>
      <c r="E134" s="29"/>
      <c r="F134" s="29"/>
      <c r="G134" s="29"/>
      <c r="H134" s="29">
        <v>96</v>
      </c>
      <c r="I134" s="29"/>
      <c r="J134" s="29"/>
      <c r="K134" s="29"/>
      <c r="L134" s="29">
        <v>98</v>
      </c>
      <c r="M134" s="30">
        <f t="shared" si="4"/>
        <v>142</v>
      </c>
      <c r="N134" s="31">
        <v>4</v>
      </c>
      <c r="O134" s="32">
        <f t="shared" si="5"/>
        <v>568</v>
      </c>
      <c r="P134" s="33"/>
      <c r="Q134" s="39"/>
      <c r="R134" s="13"/>
      <c r="S134" s="13"/>
      <c r="T134" s="13"/>
      <c r="U134" s="13"/>
    </row>
    <row r="135" spans="1:21" s="11" customFormat="1" ht="26.25" x14ac:dyDescent="0.5">
      <c r="A135" s="28" t="s">
        <v>221</v>
      </c>
      <c r="B135" s="28" t="s">
        <v>217</v>
      </c>
      <c r="C135" s="29">
        <v>48</v>
      </c>
      <c r="D135" s="29"/>
      <c r="E135" s="29">
        <v>24</v>
      </c>
      <c r="F135" s="29"/>
      <c r="G135" s="29">
        <v>48</v>
      </c>
      <c r="H135" s="29"/>
      <c r="I135" s="29"/>
      <c r="J135" s="29">
        <v>2</v>
      </c>
      <c r="K135" s="29"/>
      <c r="L135" s="29">
        <v>82</v>
      </c>
      <c r="M135" s="30">
        <f t="shared" si="4"/>
        <v>36</v>
      </c>
      <c r="N135" s="31">
        <v>4</v>
      </c>
      <c r="O135" s="32">
        <f t="shared" si="5"/>
        <v>144</v>
      </c>
      <c r="P135" s="33"/>
      <c r="Q135" s="39"/>
      <c r="R135" s="13"/>
      <c r="S135" s="13"/>
      <c r="T135" s="13"/>
      <c r="U135" s="13"/>
    </row>
    <row r="136" spans="1:21" s="11" customFormat="1" ht="26.25" x14ac:dyDescent="0.5">
      <c r="A136" s="28" t="s">
        <v>222</v>
      </c>
      <c r="B136" s="28" t="s">
        <v>217</v>
      </c>
      <c r="C136" s="29">
        <v>96</v>
      </c>
      <c r="D136" s="29"/>
      <c r="E136" s="29"/>
      <c r="F136" s="29"/>
      <c r="G136" s="29"/>
      <c r="H136" s="29"/>
      <c r="I136" s="29"/>
      <c r="J136" s="29"/>
      <c r="K136" s="29"/>
      <c r="L136" s="29">
        <v>23</v>
      </c>
      <c r="M136" s="30">
        <f t="shared" si="4"/>
        <v>73</v>
      </c>
      <c r="N136" s="31">
        <v>4</v>
      </c>
      <c r="O136" s="32">
        <f t="shared" si="5"/>
        <v>292</v>
      </c>
      <c r="P136" s="33"/>
      <c r="Q136" s="39"/>
      <c r="R136" s="13"/>
      <c r="S136" s="13"/>
      <c r="T136" s="13"/>
      <c r="U136" s="13"/>
    </row>
    <row r="137" spans="1:21" s="11" customFormat="1" ht="26.25" x14ac:dyDescent="0.5">
      <c r="A137" s="28" t="s">
        <v>223</v>
      </c>
      <c r="B137" s="28" t="s">
        <v>217</v>
      </c>
      <c r="C137" s="29">
        <v>336</v>
      </c>
      <c r="D137" s="29"/>
      <c r="E137" s="29"/>
      <c r="F137" s="29"/>
      <c r="G137" s="29"/>
      <c r="H137" s="29"/>
      <c r="I137" s="29"/>
      <c r="J137" s="29"/>
      <c r="K137" s="29"/>
      <c r="L137" s="29">
        <v>143</v>
      </c>
      <c r="M137" s="30">
        <f t="shared" si="4"/>
        <v>193</v>
      </c>
      <c r="N137" s="31">
        <v>4</v>
      </c>
      <c r="O137" s="32">
        <f t="shared" si="5"/>
        <v>772</v>
      </c>
      <c r="P137" s="33"/>
      <c r="Q137" s="39"/>
      <c r="R137" s="13"/>
      <c r="S137" s="13"/>
      <c r="T137" s="13"/>
      <c r="U137" s="13"/>
    </row>
    <row r="138" spans="1:21" s="11" customFormat="1" ht="26.25" hidden="1" x14ac:dyDescent="0.5">
      <c r="A138" s="28" t="s">
        <v>224</v>
      </c>
      <c r="B138" s="28" t="s">
        <v>225</v>
      </c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30">
        <f t="shared" si="4"/>
        <v>0</v>
      </c>
      <c r="N138" s="31">
        <v>5</v>
      </c>
      <c r="O138" s="32">
        <f t="shared" si="5"/>
        <v>0</v>
      </c>
      <c r="P138" s="33"/>
      <c r="Q138" s="39"/>
      <c r="R138" s="13"/>
      <c r="S138" s="13"/>
      <c r="T138" s="13"/>
      <c r="U138" s="13"/>
    </row>
    <row r="139" spans="1:21" s="11" customFormat="1" ht="26.25" hidden="1" x14ac:dyDescent="0.5">
      <c r="A139" s="28" t="s">
        <v>226</v>
      </c>
      <c r="B139" s="28" t="s">
        <v>227</v>
      </c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30">
        <f t="shared" si="4"/>
        <v>0</v>
      </c>
      <c r="N139" s="31">
        <v>1</v>
      </c>
      <c r="O139" s="32">
        <f t="shared" si="5"/>
        <v>0</v>
      </c>
      <c r="P139" s="33"/>
      <c r="Q139" s="39"/>
      <c r="R139" s="13"/>
      <c r="S139" s="13"/>
      <c r="T139" s="13"/>
      <c r="U139" s="13"/>
    </row>
    <row r="140" spans="1:21" s="11" customFormat="1" ht="26.25" x14ac:dyDescent="0.5">
      <c r="A140" s="28" t="s">
        <v>228</v>
      </c>
      <c r="B140" s="28" t="s">
        <v>229</v>
      </c>
      <c r="C140" s="29">
        <v>300</v>
      </c>
      <c r="D140" s="29">
        <v>150</v>
      </c>
      <c r="E140" s="29">
        <v>50</v>
      </c>
      <c r="F140" s="29"/>
      <c r="G140" s="29"/>
      <c r="H140" s="29"/>
      <c r="I140" s="29"/>
      <c r="J140" s="29">
        <f>1+1</f>
        <v>2</v>
      </c>
      <c r="K140" s="29"/>
      <c r="L140" s="29">
        <v>273</v>
      </c>
      <c r="M140" s="30">
        <f t="shared" si="4"/>
        <v>225</v>
      </c>
      <c r="N140" s="31">
        <v>4</v>
      </c>
      <c r="O140" s="32">
        <f t="shared" si="5"/>
        <v>900</v>
      </c>
      <c r="P140" s="33"/>
      <c r="Q140" s="39"/>
      <c r="R140" s="13"/>
      <c r="S140" s="13"/>
      <c r="T140" s="13"/>
      <c r="U140" s="13"/>
    </row>
    <row r="141" spans="1:21" s="11" customFormat="1" ht="26.25" hidden="1" x14ac:dyDescent="0.5">
      <c r="A141" s="28" t="s">
        <v>230</v>
      </c>
      <c r="B141" s="28" t="s">
        <v>129</v>
      </c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30">
        <f t="shared" si="4"/>
        <v>0</v>
      </c>
      <c r="N141" s="31">
        <v>5</v>
      </c>
      <c r="O141" s="32">
        <f t="shared" si="5"/>
        <v>0</v>
      </c>
      <c r="P141" s="33"/>
      <c r="R141" s="13"/>
      <c r="S141" s="13"/>
      <c r="T141" s="13"/>
      <c r="U141" s="13"/>
    </row>
    <row r="142" spans="1:21" s="11" customFormat="1" ht="26.25" hidden="1" x14ac:dyDescent="0.5">
      <c r="A142" s="28" t="s">
        <v>231</v>
      </c>
      <c r="B142" s="28" t="s">
        <v>232</v>
      </c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30">
        <f t="shared" si="4"/>
        <v>0</v>
      </c>
      <c r="N142" s="31">
        <v>5</v>
      </c>
      <c r="O142" s="32">
        <f t="shared" si="5"/>
        <v>0</v>
      </c>
      <c r="P142" s="33"/>
      <c r="R142" s="13"/>
      <c r="S142" s="13"/>
      <c r="T142" s="13"/>
      <c r="U142" s="13"/>
    </row>
    <row r="143" spans="1:21" s="11" customFormat="1" ht="26.25" hidden="1" x14ac:dyDescent="0.5">
      <c r="A143" s="28" t="s">
        <v>233</v>
      </c>
      <c r="B143" s="28" t="s">
        <v>234</v>
      </c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30">
        <f t="shared" si="4"/>
        <v>0</v>
      </c>
      <c r="N143" s="31">
        <v>4</v>
      </c>
      <c r="O143" s="32">
        <f t="shared" si="5"/>
        <v>0</v>
      </c>
      <c r="P143" s="33"/>
      <c r="R143" s="13"/>
      <c r="S143" s="13"/>
      <c r="T143" s="13"/>
      <c r="U143" s="13"/>
    </row>
    <row r="144" spans="1:21" s="11" customFormat="1" ht="26.25" hidden="1" x14ac:dyDescent="0.5">
      <c r="A144" s="28">
        <v>0</v>
      </c>
      <c r="B144" s="28">
        <v>0</v>
      </c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30">
        <f t="shared" si="4"/>
        <v>0</v>
      </c>
      <c r="N144" s="31">
        <v>0</v>
      </c>
      <c r="O144" s="32">
        <f t="shared" si="5"/>
        <v>0</v>
      </c>
      <c r="P144" s="33"/>
      <c r="R144" s="13"/>
      <c r="S144" s="13"/>
      <c r="T144" s="13"/>
      <c r="U144" s="13"/>
    </row>
    <row r="145" spans="1:21" s="11" customFormat="1" ht="26.25" hidden="1" x14ac:dyDescent="0.5">
      <c r="A145" s="28" t="s">
        <v>235</v>
      </c>
      <c r="B145" s="28" t="s">
        <v>196</v>
      </c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30">
        <f t="shared" si="4"/>
        <v>0</v>
      </c>
      <c r="N145" s="31">
        <v>10</v>
      </c>
      <c r="O145" s="32">
        <f t="shared" si="5"/>
        <v>0</v>
      </c>
      <c r="P145" s="33"/>
      <c r="R145" s="13"/>
      <c r="S145" s="13"/>
      <c r="T145" s="13"/>
      <c r="U145" s="13"/>
    </row>
    <row r="146" spans="1:21" s="11" customFormat="1" ht="26.25" hidden="1" x14ac:dyDescent="0.5">
      <c r="A146" s="28">
        <v>0</v>
      </c>
      <c r="B146" s="28">
        <v>0</v>
      </c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30">
        <f t="shared" si="4"/>
        <v>0</v>
      </c>
      <c r="N146" s="31">
        <v>0</v>
      </c>
      <c r="O146" s="32">
        <f t="shared" si="5"/>
        <v>0</v>
      </c>
      <c r="P146" s="33"/>
      <c r="R146" s="13"/>
      <c r="S146" s="13"/>
      <c r="T146" s="13"/>
      <c r="U146" s="13"/>
    </row>
    <row r="147" spans="1:21" s="11" customFormat="1" ht="26.25" hidden="1" x14ac:dyDescent="0.5">
      <c r="A147" s="28">
        <v>0</v>
      </c>
      <c r="B147" s="28">
        <v>0</v>
      </c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30">
        <f t="shared" si="4"/>
        <v>0</v>
      </c>
      <c r="N147" s="31">
        <v>0</v>
      </c>
      <c r="O147" s="32">
        <f t="shared" si="5"/>
        <v>0</v>
      </c>
      <c r="P147" s="33"/>
      <c r="R147" s="13"/>
      <c r="S147" s="13"/>
      <c r="T147" s="13"/>
      <c r="U147" s="13"/>
    </row>
    <row r="148" spans="1:21" s="11" customFormat="1" ht="26.25" x14ac:dyDescent="0.5">
      <c r="A148" s="22" t="s">
        <v>236</v>
      </c>
      <c r="B148" s="22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5"/>
      <c r="N148" s="36"/>
      <c r="O148" s="37"/>
      <c r="P148" s="33"/>
      <c r="R148" s="13"/>
      <c r="S148" s="13"/>
      <c r="T148" s="13"/>
      <c r="U148" s="13"/>
    </row>
    <row r="149" spans="1:21" s="11" customFormat="1" ht="26.25" x14ac:dyDescent="0.5">
      <c r="A149" s="28" t="s">
        <v>237</v>
      </c>
      <c r="B149" s="28" t="s">
        <v>225</v>
      </c>
      <c r="C149" s="40">
        <v>72</v>
      </c>
      <c r="D149" s="40">
        <v>48</v>
      </c>
      <c r="E149" s="40"/>
      <c r="F149" s="40"/>
      <c r="G149" s="40"/>
      <c r="H149" s="40">
        <v>96</v>
      </c>
      <c r="I149" s="40"/>
      <c r="J149" s="40"/>
      <c r="K149" s="40"/>
      <c r="L149" s="40">
        <v>144</v>
      </c>
      <c r="M149" s="41">
        <f t="shared" ref="M149:M212" si="6">C149+D149+E149+F149+G149+H149-I149-J149-K149-L149</f>
        <v>72</v>
      </c>
      <c r="N149" s="31">
        <v>6</v>
      </c>
      <c r="O149" s="32">
        <f t="shared" si="5"/>
        <v>432</v>
      </c>
      <c r="P149" s="33"/>
    </row>
    <row r="150" spans="1:21" s="11" customFormat="1" ht="26.25" x14ac:dyDescent="0.5">
      <c r="A150" s="28" t="s">
        <v>238</v>
      </c>
      <c r="B150" s="28" t="s">
        <v>225</v>
      </c>
      <c r="C150" s="40">
        <v>192</v>
      </c>
      <c r="D150" s="40">
        <v>72</v>
      </c>
      <c r="E150" s="40"/>
      <c r="F150" s="40"/>
      <c r="G150" s="40"/>
      <c r="H150" s="40"/>
      <c r="I150" s="40"/>
      <c r="J150" s="40"/>
      <c r="K150" s="40"/>
      <c r="L150" s="40">
        <v>158</v>
      </c>
      <c r="M150" s="41">
        <f t="shared" si="6"/>
        <v>106</v>
      </c>
      <c r="N150" s="31">
        <v>6</v>
      </c>
      <c r="O150" s="32">
        <f t="shared" si="5"/>
        <v>636</v>
      </c>
      <c r="P150" s="33"/>
    </row>
    <row r="151" spans="1:21" s="11" customFormat="1" ht="26.25" hidden="1" x14ac:dyDescent="0.5">
      <c r="A151" s="28" t="s">
        <v>239</v>
      </c>
      <c r="B151" s="28" t="s">
        <v>225</v>
      </c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1">
        <f t="shared" si="6"/>
        <v>0</v>
      </c>
      <c r="N151" s="31">
        <v>6</v>
      </c>
      <c r="O151" s="32">
        <f t="shared" si="5"/>
        <v>0</v>
      </c>
      <c r="P151" s="33"/>
    </row>
    <row r="152" spans="1:21" s="11" customFormat="1" ht="26.25" hidden="1" x14ac:dyDescent="0.5">
      <c r="A152" s="28" t="s">
        <v>240</v>
      </c>
      <c r="B152" s="28" t="s">
        <v>225</v>
      </c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1">
        <f t="shared" si="6"/>
        <v>0</v>
      </c>
      <c r="N152" s="31">
        <v>6</v>
      </c>
      <c r="O152" s="32">
        <f t="shared" si="5"/>
        <v>0</v>
      </c>
      <c r="P152" s="33"/>
    </row>
    <row r="153" spans="1:21" s="11" customFormat="1" ht="26.25" x14ac:dyDescent="0.5">
      <c r="A153" s="28" t="s">
        <v>241</v>
      </c>
      <c r="B153" s="28" t="s">
        <v>225</v>
      </c>
      <c r="C153" s="40">
        <v>72</v>
      </c>
      <c r="D153" s="40">
        <v>48</v>
      </c>
      <c r="E153" s="40"/>
      <c r="F153" s="40"/>
      <c r="G153" s="40"/>
      <c r="H153" s="40">
        <v>96</v>
      </c>
      <c r="I153" s="40"/>
      <c r="J153" s="40"/>
      <c r="K153" s="40"/>
      <c r="L153" s="40">
        <v>148</v>
      </c>
      <c r="M153" s="41">
        <f t="shared" si="6"/>
        <v>68</v>
      </c>
      <c r="N153" s="31">
        <v>6</v>
      </c>
      <c r="O153" s="32">
        <f t="shared" si="5"/>
        <v>408</v>
      </c>
      <c r="P153" s="33"/>
    </row>
    <row r="154" spans="1:21" s="11" customFormat="1" ht="26.25" hidden="1" x14ac:dyDescent="0.5">
      <c r="A154" s="28" t="s">
        <v>242</v>
      </c>
      <c r="B154" s="28" t="s">
        <v>243</v>
      </c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1">
        <f t="shared" si="6"/>
        <v>0</v>
      </c>
      <c r="N154" s="31">
        <v>7</v>
      </c>
      <c r="O154" s="32">
        <f t="shared" si="5"/>
        <v>0</v>
      </c>
      <c r="P154" s="33"/>
    </row>
    <row r="155" spans="1:21" s="11" customFormat="1" ht="26.25" hidden="1" x14ac:dyDescent="0.5">
      <c r="A155" s="28" t="s">
        <v>244</v>
      </c>
      <c r="B155" s="28" t="s">
        <v>243</v>
      </c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1">
        <f t="shared" si="6"/>
        <v>0</v>
      </c>
      <c r="N155" s="31">
        <v>7</v>
      </c>
      <c r="O155" s="32">
        <f t="shared" si="5"/>
        <v>0</v>
      </c>
      <c r="P155" s="33"/>
    </row>
    <row r="156" spans="1:21" s="11" customFormat="1" ht="26.25" hidden="1" x14ac:dyDescent="0.5">
      <c r="A156" s="28" t="s">
        <v>245</v>
      </c>
      <c r="B156" s="28" t="s">
        <v>243</v>
      </c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1">
        <f t="shared" si="6"/>
        <v>0</v>
      </c>
      <c r="N156" s="31">
        <v>7</v>
      </c>
      <c r="O156" s="32">
        <f t="shared" si="5"/>
        <v>0</v>
      </c>
      <c r="P156" s="33"/>
    </row>
    <row r="157" spans="1:21" s="11" customFormat="1" ht="26.25" hidden="1" x14ac:dyDescent="0.5">
      <c r="A157" s="28" t="s">
        <v>246</v>
      </c>
      <c r="B157" s="28" t="s">
        <v>243</v>
      </c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1">
        <f t="shared" si="6"/>
        <v>0</v>
      </c>
      <c r="N157" s="31">
        <v>7</v>
      </c>
      <c r="O157" s="32">
        <f t="shared" si="5"/>
        <v>0</v>
      </c>
      <c r="P157" s="33"/>
    </row>
    <row r="158" spans="1:21" s="11" customFormat="1" ht="26.25" hidden="1" x14ac:dyDescent="0.5">
      <c r="A158" s="28" t="s">
        <v>247</v>
      </c>
      <c r="B158" s="28" t="s">
        <v>248</v>
      </c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1">
        <f t="shared" si="6"/>
        <v>0</v>
      </c>
      <c r="N158" s="31">
        <v>4</v>
      </c>
      <c r="O158" s="32">
        <f t="shared" si="5"/>
        <v>0</v>
      </c>
      <c r="P158" s="33"/>
    </row>
    <row r="159" spans="1:21" s="11" customFormat="1" ht="26.25" hidden="1" x14ac:dyDescent="0.5">
      <c r="A159" s="28">
        <v>0</v>
      </c>
      <c r="B159" s="28">
        <v>0</v>
      </c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1">
        <f t="shared" si="6"/>
        <v>0</v>
      </c>
      <c r="N159" s="31">
        <v>0</v>
      </c>
      <c r="O159" s="32">
        <f t="shared" si="5"/>
        <v>0</v>
      </c>
      <c r="P159" s="33"/>
    </row>
    <row r="160" spans="1:21" s="11" customFormat="1" ht="26.25" hidden="1" x14ac:dyDescent="0.5">
      <c r="A160" s="28" t="s">
        <v>249</v>
      </c>
      <c r="B160" s="28" t="s">
        <v>250</v>
      </c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1">
        <f t="shared" si="6"/>
        <v>0</v>
      </c>
      <c r="N160" s="31">
        <v>9</v>
      </c>
      <c r="O160" s="32">
        <f t="shared" si="5"/>
        <v>0</v>
      </c>
      <c r="P160" s="33"/>
    </row>
    <row r="161" spans="1:16" s="11" customFormat="1" ht="26.25" hidden="1" x14ac:dyDescent="0.5">
      <c r="A161" s="28" t="s">
        <v>251</v>
      </c>
      <c r="B161" s="28" t="s">
        <v>252</v>
      </c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1">
        <f t="shared" si="6"/>
        <v>0</v>
      </c>
      <c r="N161" s="31">
        <v>9</v>
      </c>
      <c r="O161" s="32">
        <f t="shared" si="5"/>
        <v>0</v>
      </c>
      <c r="P161" s="33"/>
    </row>
    <row r="162" spans="1:16" s="11" customFormat="1" ht="26.25" hidden="1" x14ac:dyDescent="0.5">
      <c r="A162" s="28">
        <v>0</v>
      </c>
      <c r="B162" s="28">
        <v>0</v>
      </c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1">
        <f t="shared" si="6"/>
        <v>0</v>
      </c>
      <c r="N162" s="31">
        <v>0</v>
      </c>
      <c r="O162" s="32">
        <f t="shared" si="5"/>
        <v>0</v>
      </c>
      <c r="P162" s="33"/>
    </row>
    <row r="163" spans="1:16" s="11" customFormat="1" ht="26.25" hidden="1" x14ac:dyDescent="0.5">
      <c r="A163" s="28" t="s">
        <v>253</v>
      </c>
      <c r="B163" s="28" t="s">
        <v>225</v>
      </c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1">
        <f t="shared" si="6"/>
        <v>0</v>
      </c>
      <c r="N163" s="31">
        <v>7</v>
      </c>
      <c r="O163" s="32">
        <f t="shared" si="5"/>
        <v>0</v>
      </c>
      <c r="P163" s="33"/>
    </row>
    <row r="164" spans="1:16" s="11" customFormat="1" ht="26.25" hidden="1" x14ac:dyDescent="0.5">
      <c r="A164" s="28" t="s">
        <v>254</v>
      </c>
      <c r="B164" s="28" t="s">
        <v>225</v>
      </c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1">
        <f t="shared" si="6"/>
        <v>0</v>
      </c>
      <c r="N164" s="31">
        <v>7</v>
      </c>
      <c r="O164" s="32">
        <f t="shared" si="5"/>
        <v>0</v>
      </c>
      <c r="P164" s="33"/>
    </row>
    <row r="165" spans="1:16" s="11" customFormat="1" ht="26.25" hidden="1" x14ac:dyDescent="0.5">
      <c r="A165" s="28" t="s">
        <v>255</v>
      </c>
      <c r="B165" s="28" t="s">
        <v>225</v>
      </c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1">
        <f t="shared" si="6"/>
        <v>0</v>
      </c>
      <c r="N165" s="31">
        <v>7</v>
      </c>
      <c r="O165" s="32">
        <f t="shared" si="5"/>
        <v>0</v>
      </c>
      <c r="P165" s="33"/>
    </row>
    <row r="166" spans="1:16" s="11" customFormat="1" ht="26.25" hidden="1" x14ac:dyDescent="0.5">
      <c r="A166" s="28" t="s">
        <v>256</v>
      </c>
      <c r="B166" s="28" t="s">
        <v>225</v>
      </c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1">
        <f t="shared" si="6"/>
        <v>0</v>
      </c>
      <c r="N166" s="31">
        <v>7</v>
      </c>
      <c r="O166" s="32">
        <f t="shared" si="5"/>
        <v>0</v>
      </c>
      <c r="P166" s="33"/>
    </row>
    <row r="167" spans="1:16" s="11" customFormat="1" ht="26.25" hidden="1" x14ac:dyDescent="0.5">
      <c r="A167" s="28" t="s">
        <v>478</v>
      </c>
      <c r="B167" s="28" t="s">
        <v>479</v>
      </c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1">
        <f t="shared" si="6"/>
        <v>0</v>
      </c>
      <c r="N167" s="31">
        <v>9</v>
      </c>
      <c r="O167" s="32">
        <f t="shared" si="5"/>
        <v>0</v>
      </c>
      <c r="P167" s="33"/>
    </row>
    <row r="168" spans="1:16" s="11" customFormat="1" ht="26.25" hidden="1" x14ac:dyDescent="0.5">
      <c r="A168" s="28" t="s">
        <v>257</v>
      </c>
      <c r="B168" s="28" t="s">
        <v>225</v>
      </c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1">
        <f t="shared" si="6"/>
        <v>0</v>
      </c>
      <c r="N168" s="31">
        <v>8</v>
      </c>
      <c r="O168" s="32">
        <f t="shared" si="5"/>
        <v>0</v>
      </c>
      <c r="P168" s="33"/>
    </row>
    <row r="169" spans="1:16" s="11" customFormat="1" ht="26.25" hidden="1" x14ac:dyDescent="0.5">
      <c r="A169" s="28" t="s">
        <v>258</v>
      </c>
      <c r="B169" s="28" t="s">
        <v>225</v>
      </c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1">
        <f t="shared" si="6"/>
        <v>0</v>
      </c>
      <c r="N169" s="31">
        <v>8</v>
      </c>
      <c r="O169" s="32">
        <f t="shared" si="5"/>
        <v>0</v>
      </c>
      <c r="P169" s="33"/>
    </row>
    <row r="170" spans="1:16" s="11" customFormat="1" ht="26.25" hidden="1" x14ac:dyDescent="0.5">
      <c r="A170" s="28" t="s">
        <v>259</v>
      </c>
      <c r="B170" s="28" t="s">
        <v>225</v>
      </c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1">
        <f t="shared" si="6"/>
        <v>0</v>
      </c>
      <c r="N170" s="31">
        <v>8</v>
      </c>
      <c r="O170" s="32">
        <f t="shared" si="5"/>
        <v>0</v>
      </c>
      <c r="P170" s="33"/>
    </row>
    <row r="171" spans="1:16" s="11" customFormat="1" ht="26.25" hidden="1" x14ac:dyDescent="0.5">
      <c r="A171" s="28">
        <v>0</v>
      </c>
      <c r="B171" s="28">
        <v>0</v>
      </c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1">
        <f t="shared" si="6"/>
        <v>0</v>
      </c>
      <c r="N171" s="31">
        <v>0</v>
      </c>
      <c r="O171" s="32">
        <f t="shared" si="5"/>
        <v>0</v>
      </c>
      <c r="P171" s="33"/>
    </row>
    <row r="172" spans="1:16" s="11" customFormat="1" ht="27" thickBot="1" x14ac:dyDescent="0.55000000000000004">
      <c r="A172" s="28" t="s">
        <v>260</v>
      </c>
      <c r="B172" s="28" t="s">
        <v>260</v>
      </c>
      <c r="C172" s="40">
        <v>0</v>
      </c>
      <c r="D172" s="40"/>
      <c r="E172" s="40"/>
      <c r="F172" s="40"/>
      <c r="G172" s="40"/>
      <c r="H172" s="40"/>
      <c r="I172" s="40"/>
      <c r="J172" s="40"/>
      <c r="K172" s="40"/>
      <c r="L172" s="40"/>
      <c r="M172" s="41">
        <f t="shared" si="6"/>
        <v>0</v>
      </c>
      <c r="N172" s="31">
        <v>1</v>
      </c>
      <c r="O172" s="32">
        <f t="shared" si="5"/>
        <v>0</v>
      </c>
      <c r="P172" s="33"/>
    </row>
    <row r="173" spans="1:16" s="11" customFormat="1" ht="27" hidden="1" thickBot="1" x14ac:dyDescent="0.55000000000000004">
      <c r="A173" s="28">
        <v>0</v>
      </c>
      <c r="B173" s="28">
        <v>0</v>
      </c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1">
        <f t="shared" si="6"/>
        <v>0</v>
      </c>
      <c r="N173" s="31">
        <v>0</v>
      </c>
      <c r="O173" s="32">
        <f t="shared" si="5"/>
        <v>0</v>
      </c>
      <c r="P173" s="33"/>
    </row>
    <row r="174" spans="1:16" s="11" customFormat="1" ht="27" hidden="1" thickBot="1" x14ac:dyDescent="0.55000000000000004">
      <c r="A174" s="28">
        <v>0</v>
      </c>
      <c r="B174" s="28">
        <v>0</v>
      </c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1">
        <f t="shared" si="6"/>
        <v>0</v>
      </c>
      <c r="N174" s="31">
        <v>0</v>
      </c>
      <c r="O174" s="32">
        <f t="shared" si="5"/>
        <v>0</v>
      </c>
      <c r="P174" s="33"/>
    </row>
    <row r="175" spans="1:16" s="11" customFormat="1" ht="27" hidden="1" thickBot="1" x14ac:dyDescent="0.55000000000000004">
      <c r="A175" s="28">
        <v>0</v>
      </c>
      <c r="B175" s="28">
        <v>0</v>
      </c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1">
        <f t="shared" si="6"/>
        <v>0</v>
      </c>
      <c r="N175" s="31">
        <v>0</v>
      </c>
      <c r="O175" s="32">
        <f t="shared" si="5"/>
        <v>0</v>
      </c>
      <c r="P175" s="33"/>
    </row>
    <row r="176" spans="1:16" s="11" customFormat="1" ht="27" hidden="1" thickBot="1" x14ac:dyDescent="0.55000000000000004">
      <c r="A176" s="28" t="s">
        <v>261</v>
      </c>
      <c r="B176" s="28" t="s">
        <v>262</v>
      </c>
      <c r="C176" s="40"/>
      <c r="D176" s="42"/>
      <c r="E176" s="42"/>
      <c r="F176" s="42"/>
      <c r="G176" s="42"/>
      <c r="H176" s="42"/>
      <c r="I176" s="42"/>
      <c r="J176" s="40"/>
      <c r="K176" s="42"/>
      <c r="L176" s="42"/>
      <c r="M176" s="41">
        <f t="shared" si="6"/>
        <v>0</v>
      </c>
      <c r="N176" s="31">
        <v>10</v>
      </c>
      <c r="O176" s="32">
        <f t="shared" si="5"/>
        <v>0</v>
      </c>
      <c r="P176" s="33"/>
    </row>
    <row r="177" spans="1:15" s="11" customFormat="1" ht="27" hidden="1" thickBot="1" x14ac:dyDescent="0.55000000000000004">
      <c r="A177" s="28" t="s">
        <v>263</v>
      </c>
      <c r="B177" s="28" t="s">
        <v>264</v>
      </c>
      <c r="C177" s="40"/>
      <c r="D177" s="42"/>
      <c r="E177" s="42"/>
      <c r="F177" s="42"/>
      <c r="G177" s="42"/>
      <c r="H177" s="42"/>
      <c r="I177" s="42"/>
      <c r="J177" s="40"/>
      <c r="K177" s="42"/>
      <c r="L177" s="42"/>
      <c r="M177" s="41">
        <f t="shared" si="6"/>
        <v>0</v>
      </c>
      <c r="N177" s="31">
        <v>1</v>
      </c>
      <c r="O177" s="32">
        <f t="shared" ref="O177:O254" si="7">+M177*N177</f>
        <v>0</v>
      </c>
    </row>
    <row r="178" spans="1:15" s="11" customFormat="1" ht="27" hidden="1" thickBot="1" x14ac:dyDescent="0.55000000000000004">
      <c r="A178" s="28" t="s">
        <v>265</v>
      </c>
      <c r="B178" s="28" t="s">
        <v>266</v>
      </c>
      <c r="C178" s="40"/>
      <c r="D178" s="42"/>
      <c r="E178" s="42"/>
      <c r="F178" s="42"/>
      <c r="G178" s="42"/>
      <c r="H178" s="42"/>
      <c r="I178" s="42"/>
      <c r="J178" s="40"/>
      <c r="K178" s="42"/>
      <c r="L178" s="42"/>
      <c r="M178" s="41">
        <f t="shared" si="6"/>
        <v>0</v>
      </c>
      <c r="N178" s="31">
        <v>0</v>
      </c>
      <c r="O178" s="32">
        <f t="shared" si="7"/>
        <v>0</v>
      </c>
    </row>
    <row r="179" spans="1:15" s="11" customFormat="1" ht="27" hidden="1" thickBot="1" x14ac:dyDescent="0.55000000000000004">
      <c r="A179" s="28" t="s">
        <v>267</v>
      </c>
      <c r="B179" s="28" t="s">
        <v>268</v>
      </c>
      <c r="C179" s="40"/>
      <c r="D179" s="42"/>
      <c r="E179" s="42"/>
      <c r="F179" s="42"/>
      <c r="G179" s="42"/>
      <c r="H179" s="42"/>
      <c r="I179" s="42"/>
      <c r="J179" s="40"/>
      <c r="K179" s="42"/>
      <c r="L179" s="42"/>
      <c r="M179" s="41">
        <f t="shared" si="6"/>
        <v>0</v>
      </c>
      <c r="N179" s="31">
        <v>0</v>
      </c>
      <c r="O179" s="32">
        <f t="shared" si="7"/>
        <v>0</v>
      </c>
    </row>
    <row r="180" spans="1:15" s="11" customFormat="1" ht="27" hidden="1" thickBot="1" x14ac:dyDescent="0.55000000000000004">
      <c r="A180" s="28" t="s">
        <v>269</v>
      </c>
      <c r="B180" s="28" t="s">
        <v>270</v>
      </c>
      <c r="C180" s="40"/>
      <c r="D180" s="42"/>
      <c r="E180" s="42"/>
      <c r="F180" s="42"/>
      <c r="G180" s="42"/>
      <c r="H180" s="42"/>
      <c r="I180" s="42"/>
      <c r="J180" s="40"/>
      <c r="K180" s="42"/>
      <c r="L180" s="42"/>
      <c r="M180" s="41">
        <f t="shared" si="6"/>
        <v>0</v>
      </c>
      <c r="N180" s="31">
        <v>0</v>
      </c>
      <c r="O180" s="32">
        <f t="shared" si="7"/>
        <v>0</v>
      </c>
    </row>
    <row r="181" spans="1:15" s="11" customFormat="1" ht="27" hidden="1" thickBot="1" x14ac:dyDescent="0.55000000000000004">
      <c r="A181" s="28" t="s">
        <v>271</v>
      </c>
      <c r="B181" s="28" t="s">
        <v>272</v>
      </c>
      <c r="C181" s="40"/>
      <c r="D181" s="42"/>
      <c r="E181" s="42"/>
      <c r="F181" s="42"/>
      <c r="G181" s="42"/>
      <c r="H181" s="42"/>
      <c r="I181" s="42"/>
      <c r="J181" s="40"/>
      <c r="K181" s="42"/>
      <c r="L181" s="42"/>
      <c r="M181" s="41">
        <f t="shared" si="6"/>
        <v>0</v>
      </c>
      <c r="N181" s="31">
        <v>0</v>
      </c>
      <c r="O181" s="32">
        <f t="shared" si="7"/>
        <v>0</v>
      </c>
    </row>
    <row r="182" spans="1:15" s="11" customFormat="1" ht="27" hidden="1" thickBot="1" x14ac:dyDescent="0.55000000000000004">
      <c r="A182" s="28" t="s">
        <v>273</v>
      </c>
      <c r="B182" s="28" t="s">
        <v>274</v>
      </c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3">
        <f t="shared" si="6"/>
        <v>0</v>
      </c>
      <c r="N182" s="31">
        <v>200</v>
      </c>
      <c r="O182" s="32">
        <f t="shared" si="7"/>
        <v>0</v>
      </c>
    </row>
    <row r="183" spans="1:15" s="11" customFormat="1" ht="27" hidden="1" thickBot="1" x14ac:dyDescent="0.55000000000000004">
      <c r="A183" s="28" t="s">
        <v>275</v>
      </c>
      <c r="B183" s="28" t="s">
        <v>274</v>
      </c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3">
        <f t="shared" si="6"/>
        <v>0</v>
      </c>
      <c r="N183" s="31">
        <v>200</v>
      </c>
      <c r="O183" s="32">
        <f t="shared" si="7"/>
        <v>0</v>
      </c>
    </row>
    <row r="184" spans="1:15" s="11" customFormat="1" ht="27" hidden="1" thickBot="1" x14ac:dyDescent="0.55000000000000004">
      <c r="A184" s="28" t="s">
        <v>276</v>
      </c>
      <c r="B184" s="28" t="s">
        <v>274</v>
      </c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3">
        <f t="shared" si="6"/>
        <v>0</v>
      </c>
      <c r="N184" s="31">
        <v>200</v>
      </c>
      <c r="O184" s="32">
        <f t="shared" si="7"/>
        <v>0</v>
      </c>
    </row>
    <row r="185" spans="1:15" s="11" customFormat="1" ht="27" hidden="1" thickBot="1" x14ac:dyDescent="0.55000000000000004">
      <c r="A185" s="28" t="s">
        <v>277</v>
      </c>
      <c r="B185" s="28" t="s">
        <v>274</v>
      </c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3">
        <f t="shared" si="6"/>
        <v>0</v>
      </c>
      <c r="N185" s="31">
        <v>200</v>
      </c>
      <c r="O185" s="32">
        <f t="shared" si="7"/>
        <v>0</v>
      </c>
    </row>
    <row r="186" spans="1:15" s="11" customFormat="1" ht="27" hidden="1" thickBot="1" x14ac:dyDescent="0.55000000000000004">
      <c r="A186" s="28" t="s">
        <v>278</v>
      </c>
      <c r="B186" s="28" t="s">
        <v>274</v>
      </c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3">
        <f t="shared" si="6"/>
        <v>0</v>
      </c>
      <c r="N186" s="31">
        <v>200</v>
      </c>
      <c r="O186" s="32">
        <f t="shared" si="7"/>
        <v>0</v>
      </c>
    </row>
    <row r="187" spans="1:15" s="11" customFormat="1" ht="27" hidden="1" thickBot="1" x14ac:dyDescent="0.55000000000000004">
      <c r="A187" s="28" t="s">
        <v>279</v>
      </c>
      <c r="B187" s="28" t="s">
        <v>274</v>
      </c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3">
        <f t="shared" si="6"/>
        <v>0</v>
      </c>
      <c r="N187" s="31">
        <v>200</v>
      </c>
      <c r="O187" s="32">
        <f t="shared" si="7"/>
        <v>0</v>
      </c>
    </row>
    <row r="188" spans="1:15" s="11" customFormat="1" ht="27" hidden="1" thickBot="1" x14ac:dyDescent="0.55000000000000004">
      <c r="A188" s="28" t="s">
        <v>280</v>
      </c>
      <c r="B188" s="28" t="s">
        <v>274</v>
      </c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3">
        <f t="shared" si="6"/>
        <v>0</v>
      </c>
      <c r="N188" s="31">
        <v>200</v>
      </c>
      <c r="O188" s="32">
        <f t="shared" si="7"/>
        <v>0</v>
      </c>
    </row>
    <row r="189" spans="1:15" s="11" customFormat="1" ht="27" hidden="1" thickBot="1" x14ac:dyDescent="0.55000000000000004">
      <c r="A189" s="28" t="s">
        <v>281</v>
      </c>
      <c r="B189" s="28" t="s">
        <v>274</v>
      </c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3">
        <f t="shared" si="6"/>
        <v>0</v>
      </c>
      <c r="N189" s="31">
        <v>200</v>
      </c>
      <c r="O189" s="32">
        <f t="shared" si="7"/>
        <v>0</v>
      </c>
    </row>
    <row r="190" spans="1:15" s="11" customFormat="1" ht="27" hidden="1" thickBot="1" x14ac:dyDescent="0.55000000000000004">
      <c r="A190" s="28" t="s">
        <v>282</v>
      </c>
      <c r="B190" s="28" t="s">
        <v>274</v>
      </c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3">
        <f t="shared" si="6"/>
        <v>0</v>
      </c>
      <c r="N190" s="31">
        <v>200</v>
      </c>
      <c r="O190" s="32">
        <f t="shared" si="7"/>
        <v>0</v>
      </c>
    </row>
    <row r="191" spans="1:15" s="11" customFormat="1" ht="27" hidden="1" thickBot="1" x14ac:dyDescent="0.55000000000000004">
      <c r="A191" s="28" t="s">
        <v>283</v>
      </c>
      <c r="B191" s="28" t="s">
        <v>274</v>
      </c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3">
        <f t="shared" si="6"/>
        <v>0</v>
      </c>
      <c r="N191" s="31">
        <v>200</v>
      </c>
      <c r="O191" s="32">
        <f t="shared" si="7"/>
        <v>0</v>
      </c>
    </row>
    <row r="192" spans="1:15" s="11" customFormat="1" ht="27" hidden="1" thickBot="1" x14ac:dyDescent="0.55000000000000004">
      <c r="A192" s="28" t="s">
        <v>284</v>
      </c>
      <c r="B192" s="28" t="s">
        <v>274</v>
      </c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3">
        <f t="shared" si="6"/>
        <v>0</v>
      </c>
      <c r="N192" s="31">
        <v>200</v>
      </c>
      <c r="O192" s="32">
        <f t="shared" si="7"/>
        <v>0</v>
      </c>
    </row>
    <row r="193" spans="1:15" s="11" customFormat="1" ht="27" hidden="1" thickBot="1" x14ac:dyDescent="0.55000000000000004">
      <c r="A193" s="28" t="s">
        <v>285</v>
      </c>
      <c r="B193" s="28" t="s">
        <v>274</v>
      </c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3">
        <f t="shared" si="6"/>
        <v>0</v>
      </c>
      <c r="N193" s="31">
        <v>200</v>
      </c>
      <c r="O193" s="32">
        <f t="shared" si="7"/>
        <v>0</v>
      </c>
    </row>
    <row r="194" spans="1:15" s="11" customFormat="1" ht="27" hidden="1" thickBot="1" x14ac:dyDescent="0.55000000000000004">
      <c r="A194" s="28" t="s">
        <v>286</v>
      </c>
      <c r="B194" s="28" t="s">
        <v>274</v>
      </c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3">
        <f t="shared" si="6"/>
        <v>0</v>
      </c>
      <c r="N194" s="31">
        <v>200</v>
      </c>
      <c r="O194" s="32">
        <f t="shared" si="7"/>
        <v>0</v>
      </c>
    </row>
    <row r="195" spans="1:15" s="11" customFormat="1" ht="27" hidden="1" thickBot="1" x14ac:dyDescent="0.55000000000000004">
      <c r="A195" s="28" t="s">
        <v>287</v>
      </c>
      <c r="B195" s="28" t="s">
        <v>274</v>
      </c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3">
        <f t="shared" si="6"/>
        <v>0</v>
      </c>
      <c r="N195" s="31">
        <v>200</v>
      </c>
      <c r="O195" s="32">
        <f t="shared" si="7"/>
        <v>0</v>
      </c>
    </row>
    <row r="196" spans="1:15" s="11" customFormat="1" ht="27" hidden="1" thickBot="1" x14ac:dyDescent="0.55000000000000004">
      <c r="A196" s="28" t="s">
        <v>288</v>
      </c>
      <c r="B196" s="28" t="s">
        <v>274</v>
      </c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3">
        <f t="shared" si="6"/>
        <v>0</v>
      </c>
      <c r="N196" s="31">
        <v>200</v>
      </c>
      <c r="O196" s="32">
        <f t="shared" si="7"/>
        <v>0</v>
      </c>
    </row>
    <row r="197" spans="1:15" s="11" customFormat="1" ht="27" hidden="1" thickBot="1" x14ac:dyDescent="0.55000000000000004">
      <c r="A197" s="28" t="s">
        <v>289</v>
      </c>
      <c r="B197" s="28" t="s">
        <v>274</v>
      </c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3">
        <f t="shared" si="6"/>
        <v>0</v>
      </c>
      <c r="N197" s="31">
        <v>200</v>
      </c>
      <c r="O197" s="32">
        <f t="shared" si="7"/>
        <v>0</v>
      </c>
    </row>
    <row r="198" spans="1:15" s="11" customFormat="1" ht="27" hidden="1" thickBot="1" x14ac:dyDescent="0.55000000000000004">
      <c r="A198" s="28" t="s">
        <v>290</v>
      </c>
      <c r="B198" s="28" t="s">
        <v>274</v>
      </c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3">
        <f t="shared" si="6"/>
        <v>0</v>
      </c>
      <c r="N198" s="31">
        <v>200</v>
      </c>
      <c r="O198" s="32">
        <f t="shared" si="7"/>
        <v>0</v>
      </c>
    </row>
    <row r="199" spans="1:15" s="11" customFormat="1" ht="27" hidden="1" thickBot="1" x14ac:dyDescent="0.55000000000000004">
      <c r="A199" s="28" t="s">
        <v>291</v>
      </c>
      <c r="B199" s="28" t="s">
        <v>274</v>
      </c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3">
        <f t="shared" si="6"/>
        <v>0</v>
      </c>
      <c r="N199" s="31">
        <v>200</v>
      </c>
      <c r="O199" s="32">
        <f t="shared" si="7"/>
        <v>0</v>
      </c>
    </row>
    <row r="200" spans="1:15" s="11" customFormat="1" ht="27" hidden="1" thickBot="1" x14ac:dyDescent="0.55000000000000004">
      <c r="A200" s="28" t="s">
        <v>292</v>
      </c>
      <c r="B200" s="28" t="s">
        <v>274</v>
      </c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3">
        <f t="shared" si="6"/>
        <v>0</v>
      </c>
      <c r="N200" s="31">
        <v>200</v>
      </c>
      <c r="O200" s="32">
        <f t="shared" si="7"/>
        <v>0</v>
      </c>
    </row>
    <row r="201" spans="1:15" s="11" customFormat="1" ht="27" hidden="1" thickBot="1" x14ac:dyDescent="0.55000000000000004">
      <c r="A201" s="28" t="s">
        <v>293</v>
      </c>
      <c r="B201" s="28" t="s">
        <v>274</v>
      </c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3">
        <f t="shared" si="6"/>
        <v>0</v>
      </c>
      <c r="N201" s="31">
        <v>200</v>
      </c>
      <c r="O201" s="32">
        <f t="shared" si="7"/>
        <v>0</v>
      </c>
    </row>
    <row r="202" spans="1:15" s="11" customFormat="1" ht="27" hidden="1" thickBot="1" x14ac:dyDescent="0.55000000000000004">
      <c r="A202" s="28" t="s">
        <v>294</v>
      </c>
      <c r="B202" s="28" t="s">
        <v>274</v>
      </c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3">
        <f t="shared" si="6"/>
        <v>0</v>
      </c>
      <c r="N202" s="31">
        <v>200</v>
      </c>
      <c r="O202" s="32">
        <f t="shared" si="7"/>
        <v>0</v>
      </c>
    </row>
    <row r="203" spans="1:15" s="11" customFormat="1" ht="27" hidden="1" thickBot="1" x14ac:dyDescent="0.55000000000000004">
      <c r="A203" s="28" t="s">
        <v>295</v>
      </c>
      <c r="B203" s="28" t="s">
        <v>274</v>
      </c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3">
        <f t="shared" si="6"/>
        <v>0</v>
      </c>
      <c r="N203" s="31">
        <v>200</v>
      </c>
      <c r="O203" s="32">
        <f t="shared" si="7"/>
        <v>0</v>
      </c>
    </row>
    <row r="204" spans="1:15" s="11" customFormat="1" ht="27" hidden="1" thickBot="1" x14ac:dyDescent="0.55000000000000004">
      <c r="A204" s="28" t="s">
        <v>296</v>
      </c>
      <c r="B204" s="28" t="s">
        <v>274</v>
      </c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3">
        <f t="shared" si="6"/>
        <v>0</v>
      </c>
      <c r="N204" s="31">
        <v>200</v>
      </c>
      <c r="O204" s="32">
        <f t="shared" si="7"/>
        <v>0</v>
      </c>
    </row>
    <row r="205" spans="1:15" s="11" customFormat="1" ht="27" hidden="1" thickBot="1" x14ac:dyDescent="0.55000000000000004">
      <c r="A205" s="28" t="s">
        <v>297</v>
      </c>
      <c r="B205" s="28" t="s">
        <v>274</v>
      </c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3">
        <f t="shared" si="6"/>
        <v>0</v>
      </c>
      <c r="N205" s="31">
        <v>200</v>
      </c>
      <c r="O205" s="32">
        <f t="shared" si="7"/>
        <v>0</v>
      </c>
    </row>
    <row r="206" spans="1:15" s="11" customFormat="1" ht="27" hidden="1" thickBot="1" x14ac:dyDescent="0.55000000000000004">
      <c r="A206" s="28" t="s">
        <v>298</v>
      </c>
      <c r="B206" s="28" t="s">
        <v>274</v>
      </c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3">
        <f t="shared" si="6"/>
        <v>0</v>
      </c>
      <c r="N206" s="31">
        <v>200</v>
      </c>
      <c r="O206" s="32">
        <f t="shared" si="7"/>
        <v>0</v>
      </c>
    </row>
    <row r="207" spans="1:15" s="11" customFormat="1" ht="27" hidden="1" thickBot="1" x14ac:dyDescent="0.55000000000000004">
      <c r="A207" s="28" t="s">
        <v>299</v>
      </c>
      <c r="B207" s="28" t="s">
        <v>274</v>
      </c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3">
        <f t="shared" si="6"/>
        <v>0</v>
      </c>
      <c r="N207" s="31">
        <v>200</v>
      </c>
      <c r="O207" s="32">
        <f t="shared" si="7"/>
        <v>0</v>
      </c>
    </row>
    <row r="208" spans="1:15" s="11" customFormat="1" ht="27" hidden="1" thickBot="1" x14ac:dyDescent="0.55000000000000004">
      <c r="A208" s="28" t="s">
        <v>300</v>
      </c>
      <c r="B208" s="28" t="s">
        <v>274</v>
      </c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3">
        <f t="shared" si="6"/>
        <v>0</v>
      </c>
      <c r="N208" s="31">
        <v>200</v>
      </c>
      <c r="O208" s="32">
        <f t="shared" si="7"/>
        <v>0</v>
      </c>
    </row>
    <row r="209" spans="1:15" s="11" customFormat="1" ht="27" hidden="1" thickBot="1" x14ac:dyDescent="0.55000000000000004">
      <c r="A209" s="28" t="s">
        <v>301</v>
      </c>
      <c r="B209" s="28" t="s">
        <v>274</v>
      </c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3">
        <f t="shared" si="6"/>
        <v>0</v>
      </c>
      <c r="N209" s="31">
        <v>200</v>
      </c>
      <c r="O209" s="32">
        <f t="shared" si="7"/>
        <v>0</v>
      </c>
    </row>
    <row r="210" spans="1:15" s="11" customFormat="1" ht="27" hidden="1" thickBot="1" x14ac:dyDescent="0.55000000000000004">
      <c r="A210" s="28" t="s">
        <v>302</v>
      </c>
      <c r="B210" s="28" t="s">
        <v>274</v>
      </c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3">
        <f t="shared" si="6"/>
        <v>0</v>
      </c>
      <c r="N210" s="31">
        <v>200</v>
      </c>
      <c r="O210" s="32">
        <f t="shared" si="7"/>
        <v>0</v>
      </c>
    </row>
    <row r="211" spans="1:15" s="11" customFormat="1" ht="27" hidden="1" thickBot="1" x14ac:dyDescent="0.55000000000000004">
      <c r="A211" s="28" t="s">
        <v>303</v>
      </c>
      <c r="B211" s="28" t="s">
        <v>274</v>
      </c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3">
        <f t="shared" si="6"/>
        <v>0</v>
      </c>
      <c r="N211" s="31">
        <v>200</v>
      </c>
      <c r="O211" s="32">
        <f t="shared" si="7"/>
        <v>0</v>
      </c>
    </row>
    <row r="212" spans="1:15" s="11" customFormat="1" ht="27" hidden="1" thickBot="1" x14ac:dyDescent="0.55000000000000004">
      <c r="A212" s="28" t="s">
        <v>304</v>
      </c>
      <c r="B212" s="28" t="s">
        <v>305</v>
      </c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3">
        <f t="shared" si="6"/>
        <v>0</v>
      </c>
      <c r="N212" s="31">
        <v>144</v>
      </c>
      <c r="O212" s="32">
        <f t="shared" si="7"/>
        <v>0</v>
      </c>
    </row>
    <row r="213" spans="1:15" s="11" customFormat="1" ht="27" hidden="1" thickBot="1" x14ac:dyDescent="0.55000000000000004">
      <c r="A213" s="28" t="s">
        <v>306</v>
      </c>
      <c r="B213" s="28" t="s">
        <v>274</v>
      </c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3">
        <f t="shared" ref="M213:M260" si="8">C213+D213+E213+F213+G213+H213-I213-J213-K213-L213</f>
        <v>0</v>
      </c>
      <c r="N213" s="31">
        <v>200</v>
      </c>
      <c r="O213" s="32">
        <f t="shared" si="7"/>
        <v>0</v>
      </c>
    </row>
    <row r="214" spans="1:15" s="11" customFormat="1" ht="27" hidden="1" thickBot="1" x14ac:dyDescent="0.55000000000000004">
      <c r="A214" s="28" t="s">
        <v>307</v>
      </c>
      <c r="B214" s="28" t="s">
        <v>274</v>
      </c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3">
        <f t="shared" si="8"/>
        <v>0</v>
      </c>
      <c r="N214" s="31">
        <v>200</v>
      </c>
      <c r="O214" s="32">
        <f t="shared" si="7"/>
        <v>0</v>
      </c>
    </row>
    <row r="215" spans="1:15" s="11" customFormat="1" ht="27" hidden="1" thickBot="1" x14ac:dyDescent="0.55000000000000004">
      <c r="A215" s="28" t="s">
        <v>308</v>
      </c>
      <c r="B215" s="28" t="s">
        <v>309</v>
      </c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3">
        <f t="shared" si="8"/>
        <v>0</v>
      </c>
      <c r="N215" s="31">
        <v>344</v>
      </c>
      <c r="O215" s="32">
        <f t="shared" si="7"/>
        <v>0</v>
      </c>
    </row>
    <row r="216" spans="1:15" s="11" customFormat="1" ht="27" hidden="1" thickBot="1" x14ac:dyDescent="0.55000000000000004">
      <c r="A216" s="28" t="s">
        <v>310</v>
      </c>
      <c r="B216" s="28" t="s">
        <v>274</v>
      </c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3">
        <f t="shared" si="8"/>
        <v>0</v>
      </c>
      <c r="N216" s="31">
        <v>200</v>
      </c>
      <c r="O216" s="32">
        <f t="shared" si="7"/>
        <v>0</v>
      </c>
    </row>
    <row r="217" spans="1:15" s="11" customFormat="1" ht="27" hidden="1" thickBot="1" x14ac:dyDescent="0.55000000000000004">
      <c r="A217" s="28" t="s">
        <v>311</v>
      </c>
      <c r="B217" s="28" t="s">
        <v>274</v>
      </c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3">
        <f t="shared" si="8"/>
        <v>0</v>
      </c>
      <c r="N217" s="31">
        <v>200</v>
      </c>
      <c r="O217" s="32">
        <f t="shared" si="7"/>
        <v>0</v>
      </c>
    </row>
    <row r="218" spans="1:15" s="11" customFormat="1" ht="27" hidden="1" thickBot="1" x14ac:dyDescent="0.55000000000000004">
      <c r="A218" s="28" t="s">
        <v>312</v>
      </c>
      <c r="B218" s="28" t="s">
        <v>274</v>
      </c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3">
        <f t="shared" si="8"/>
        <v>0</v>
      </c>
      <c r="N218" s="31">
        <v>200</v>
      </c>
      <c r="O218" s="32">
        <f t="shared" si="7"/>
        <v>0</v>
      </c>
    </row>
    <row r="219" spans="1:15" s="11" customFormat="1" ht="27" hidden="1" thickBot="1" x14ac:dyDescent="0.55000000000000004">
      <c r="A219" s="28" t="s">
        <v>313</v>
      </c>
      <c r="B219" s="28" t="s">
        <v>274</v>
      </c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3">
        <f t="shared" si="8"/>
        <v>0</v>
      </c>
      <c r="N219" s="31">
        <v>200</v>
      </c>
      <c r="O219" s="32">
        <f t="shared" si="7"/>
        <v>0</v>
      </c>
    </row>
    <row r="220" spans="1:15" s="11" customFormat="1" ht="27" hidden="1" thickBot="1" x14ac:dyDescent="0.55000000000000004">
      <c r="A220" s="28" t="s">
        <v>314</v>
      </c>
      <c r="B220" s="28" t="s">
        <v>315</v>
      </c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3">
        <f t="shared" si="8"/>
        <v>0</v>
      </c>
      <c r="N220" s="31">
        <v>40</v>
      </c>
      <c r="O220" s="32">
        <f t="shared" si="7"/>
        <v>0</v>
      </c>
    </row>
    <row r="221" spans="1:15" s="11" customFormat="1" ht="27" hidden="1" thickBot="1" x14ac:dyDescent="0.55000000000000004">
      <c r="A221" s="28" t="s">
        <v>316</v>
      </c>
      <c r="B221" s="28" t="s">
        <v>317</v>
      </c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3">
        <f t="shared" si="8"/>
        <v>0</v>
      </c>
      <c r="N221" s="31">
        <v>180</v>
      </c>
      <c r="O221" s="32">
        <f t="shared" si="7"/>
        <v>0</v>
      </c>
    </row>
    <row r="222" spans="1:15" s="11" customFormat="1" ht="27" hidden="1" thickBot="1" x14ac:dyDescent="0.55000000000000004">
      <c r="A222" s="28" t="s">
        <v>318</v>
      </c>
      <c r="B222" s="28" t="s">
        <v>317</v>
      </c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3">
        <f t="shared" si="8"/>
        <v>0</v>
      </c>
      <c r="N222" s="31">
        <v>180</v>
      </c>
      <c r="O222" s="32">
        <f t="shared" si="7"/>
        <v>0</v>
      </c>
    </row>
    <row r="223" spans="1:15" s="11" customFormat="1" ht="27" hidden="1" thickBot="1" x14ac:dyDescent="0.55000000000000004">
      <c r="A223" s="28" t="s">
        <v>319</v>
      </c>
      <c r="B223" s="28" t="s">
        <v>317</v>
      </c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3">
        <f t="shared" si="8"/>
        <v>0</v>
      </c>
      <c r="N223" s="31">
        <v>180</v>
      </c>
      <c r="O223" s="32">
        <f t="shared" si="7"/>
        <v>0</v>
      </c>
    </row>
    <row r="224" spans="1:15" s="11" customFormat="1" ht="27" hidden="1" thickBot="1" x14ac:dyDescent="0.55000000000000004">
      <c r="A224" s="28" t="s">
        <v>320</v>
      </c>
      <c r="B224" s="28" t="s">
        <v>317</v>
      </c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3">
        <f t="shared" si="8"/>
        <v>0</v>
      </c>
      <c r="N224" s="31">
        <v>180</v>
      </c>
      <c r="O224" s="32">
        <f t="shared" si="7"/>
        <v>0</v>
      </c>
    </row>
    <row r="225" spans="1:15" s="11" customFormat="1" ht="27" hidden="1" thickBot="1" x14ac:dyDescent="0.55000000000000004">
      <c r="A225" s="28" t="s">
        <v>321</v>
      </c>
      <c r="B225" s="28" t="s">
        <v>317</v>
      </c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3">
        <f t="shared" si="8"/>
        <v>0</v>
      </c>
      <c r="N225" s="31">
        <v>180</v>
      </c>
      <c r="O225" s="32">
        <f t="shared" si="7"/>
        <v>0</v>
      </c>
    </row>
    <row r="226" spans="1:15" s="11" customFormat="1" ht="27" hidden="1" thickBot="1" x14ac:dyDescent="0.55000000000000004">
      <c r="A226" s="28" t="s">
        <v>322</v>
      </c>
      <c r="B226" s="28" t="s">
        <v>317</v>
      </c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3">
        <f t="shared" si="8"/>
        <v>0</v>
      </c>
      <c r="N226" s="31">
        <v>180</v>
      </c>
      <c r="O226" s="32">
        <f t="shared" si="7"/>
        <v>0</v>
      </c>
    </row>
    <row r="227" spans="1:15" s="11" customFormat="1" ht="27" hidden="1" thickBot="1" x14ac:dyDescent="0.55000000000000004">
      <c r="A227" s="28" t="s">
        <v>323</v>
      </c>
      <c r="B227" s="28" t="s">
        <v>274</v>
      </c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3">
        <f t="shared" si="8"/>
        <v>0</v>
      </c>
      <c r="N227" s="31">
        <v>200</v>
      </c>
      <c r="O227" s="32">
        <f t="shared" si="7"/>
        <v>0</v>
      </c>
    </row>
    <row r="228" spans="1:15" s="11" customFormat="1" ht="27" hidden="1" thickBot="1" x14ac:dyDescent="0.55000000000000004">
      <c r="A228" s="28" t="s">
        <v>324</v>
      </c>
      <c r="B228" s="28" t="s">
        <v>274</v>
      </c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3">
        <f t="shared" si="8"/>
        <v>0</v>
      </c>
      <c r="N228" s="31">
        <v>200</v>
      </c>
      <c r="O228" s="32">
        <f t="shared" si="7"/>
        <v>0</v>
      </c>
    </row>
    <row r="229" spans="1:15" s="11" customFormat="1" ht="27" hidden="1" thickBot="1" x14ac:dyDescent="0.55000000000000004">
      <c r="A229" s="28" t="s">
        <v>325</v>
      </c>
      <c r="B229" s="28" t="s">
        <v>274</v>
      </c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3">
        <f t="shared" si="8"/>
        <v>0</v>
      </c>
      <c r="N229" s="31">
        <v>200</v>
      </c>
      <c r="O229" s="32">
        <f t="shared" si="7"/>
        <v>0</v>
      </c>
    </row>
    <row r="230" spans="1:15" s="11" customFormat="1" ht="27" hidden="1" thickBot="1" x14ac:dyDescent="0.55000000000000004">
      <c r="A230" s="28" t="s">
        <v>326</v>
      </c>
      <c r="B230" s="28" t="s">
        <v>274</v>
      </c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3">
        <f t="shared" si="8"/>
        <v>0</v>
      </c>
      <c r="N230" s="31">
        <v>200</v>
      </c>
      <c r="O230" s="32">
        <f t="shared" si="7"/>
        <v>0</v>
      </c>
    </row>
    <row r="231" spans="1:15" s="11" customFormat="1" ht="27" hidden="1" thickBot="1" x14ac:dyDescent="0.55000000000000004">
      <c r="A231" s="28" t="s">
        <v>327</v>
      </c>
      <c r="B231" s="28" t="s">
        <v>274</v>
      </c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3">
        <f t="shared" si="8"/>
        <v>0</v>
      </c>
      <c r="N231" s="31">
        <v>200</v>
      </c>
      <c r="O231" s="32">
        <f t="shared" si="7"/>
        <v>0</v>
      </c>
    </row>
    <row r="232" spans="1:15" s="11" customFormat="1" ht="27" hidden="1" thickBot="1" x14ac:dyDescent="0.55000000000000004">
      <c r="A232" s="28" t="s">
        <v>328</v>
      </c>
      <c r="B232" s="28" t="s">
        <v>274</v>
      </c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3">
        <f t="shared" si="8"/>
        <v>0</v>
      </c>
      <c r="N232" s="31">
        <v>200</v>
      </c>
      <c r="O232" s="32">
        <f t="shared" si="7"/>
        <v>0</v>
      </c>
    </row>
    <row r="233" spans="1:15" s="11" customFormat="1" ht="27" hidden="1" thickBot="1" x14ac:dyDescent="0.55000000000000004">
      <c r="A233" s="28" t="s">
        <v>329</v>
      </c>
      <c r="B233" s="28" t="s">
        <v>305</v>
      </c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3">
        <f t="shared" si="8"/>
        <v>0</v>
      </c>
      <c r="N233" s="31">
        <v>144</v>
      </c>
      <c r="O233" s="32">
        <f t="shared" si="7"/>
        <v>0</v>
      </c>
    </row>
    <row r="234" spans="1:15" s="11" customFormat="1" ht="27" hidden="1" thickBot="1" x14ac:dyDescent="0.55000000000000004">
      <c r="A234" s="28" t="s">
        <v>330</v>
      </c>
      <c r="B234" s="28" t="s">
        <v>274</v>
      </c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3">
        <f t="shared" si="8"/>
        <v>0</v>
      </c>
      <c r="N234" s="31">
        <v>200</v>
      </c>
      <c r="O234" s="32">
        <f t="shared" si="7"/>
        <v>0</v>
      </c>
    </row>
    <row r="235" spans="1:15" s="11" customFormat="1" ht="27" hidden="1" thickBot="1" x14ac:dyDescent="0.55000000000000004">
      <c r="A235" s="28">
        <v>0</v>
      </c>
      <c r="B235" s="28">
        <v>0</v>
      </c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3">
        <f t="shared" si="8"/>
        <v>0</v>
      </c>
      <c r="N235" s="31">
        <v>0</v>
      </c>
      <c r="O235" s="32">
        <f t="shared" si="7"/>
        <v>0</v>
      </c>
    </row>
    <row r="236" spans="1:15" s="11" customFormat="1" ht="27" hidden="1" thickBot="1" x14ac:dyDescent="0.55000000000000004">
      <c r="A236" s="28" t="s">
        <v>331</v>
      </c>
      <c r="B236" s="28" t="s">
        <v>234</v>
      </c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3">
        <f t="shared" si="8"/>
        <v>0</v>
      </c>
      <c r="N236" s="31">
        <v>6</v>
      </c>
      <c r="O236" s="32">
        <f t="shared" si="7"/>
        <v>0</v>
      </c>
    </row>
    <row r="237" spans="1:15" s="11" customFormat="1" ht="27" hidden="1" thickBot="1" x14ac:dyDescent="0.55000000000000004">
      <c r="A237" s="28" t="s">
        <v>332</v>
      </c>
      <c r="B237" s="28" t="s">
        <v>234</v>
      </c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3">
        <f t="shared" si="8"/>
        <v>0</v>
      </c>
      <c r="N237" s="31">
        <v>8</v>
      </c>
      <c r="O237" s="32">
        <f t="shared" si="7"/>
        <v>0</v>
      </c>
    </row>
    <row r="238" spans="1:15" s="11" customFormat="1" ht="27" hidden="1" thickBot="1" x14ac:dyDescent="0.55000000000000004">
      <c r="A238" s="28" t="s">
        <v>333</v>
      </c>
      <c r="B238" s="28" t="s">
        <v>234</v>
      </c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3">
        <f t="shared" si="8"/>
        <v>0</v>
      </c>
      <c r="N238" s="31">
        <v>7</v>
      </c>
      <c r="O238" s="32">
        <f t="shared" si="7"/>
        <v>0</v>
      </c>
    </row>
    <row r="239" spans="1:15" s="11" customFormat="1" ht="27" hidden="1" thickBot="1" x14ac:dyDescent="0.55000000000000004">
      <c r="A239" s="28" t="s">
        <v>334</v>
      </c>
      <c r="B239" s="28" t="s">
        <v>234</v>
      </c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3">
        <f t="shared" si="8"/>
        <v>0</v>
      </c>
      <c r="N239" s="31">
        <v>0</v>
      </c>
      <c r="O239" s="32">
        <f t="shared" si="7"/>
        <v>0</v>
      </c>
    </row>
    <row r="240" spans="1:15" s="11" customFormat="1" ht="27" hidden="1" thickBot="1" x14ac:dyDescent="0.55000000000000004">
      <c r="A240" s="28" t="s">
        <v>335</v>
      </c>
      <c r="B240" s="28" t="s">
        <v>336</v>
      </c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3">
        <f t="shared" si="8"/>
        <v>0</v>
      </c>
      <c r="N240" s="31">
        <v>25</v>
      </c>
      <c r="O240" s="32">
        <f t="shared" si="7"/>
        <v>0</v>
      </c>
    </row>
    <row r="241" spans="1:15" s="11" customFormat="1" ht="27" hidden="1" thickBot="1" x14ac:dyDescent="0.55000000000000004">
      <c r="A241" s="28">
        <v>0</v>
      </c>
      <c r="B241" s="28">
        <v>0</v>
      </c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3">
        <f t="shared" si="8"/>
        <v>0</v>
      </c>
      <c r="N241" s="31">
        <v>0</v>
      </c>
      <c r="O241" s="32">
        <f t="shared" si="7"/>
        <v>0</v>
      </c>
    </row>
    <row r="242" spans="1:15" s="11" customFormat="1" ht="27" hidden="1" thickBot="1" x14ac:dyDescent="0.55000000000000004">
      <c r="A242" s="28">
        <v>0</v>
      </c>
      <c r="B242" s="28">
        <v>0</v>
      </c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3">
        <f t="shared" si="8"/>
        <v>0</v>
      </c>
      <c r="N242" s="31">
        <v>0</v>
      </c>
      <c r="O242" s="32">
        <f t="shared" si="7"/>
        <v>0</v>
      </c>
    </row>
    <row r="243" spans="1:15" s="11" customFormat="1" ht="27" hidden="1" thickBot="1" x14ac:dyDescent="0.55000000000000004">
      <c r="A243" s="28" t="s">
        <v>337</v>
      </c>
      <c r="B243" s="28" t="s">
        <v>338</v>
      </c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3">
        <f t="shared" si="8"/>
        <v>0</v>
      </c>
      <c r="N243" s="31">
        <v>144</v>
      </c>
      <c r="O243" s="32">
        <f t="shared" si="7"/>
        <v>0</v>
      </c>
    </row>
    <row r="244" spans="1:15" s="11" customFormat="1" ht="27" hidden="1" thickBot="1" x14ac:dyDescent="0.55000000000000004">
      <c r="A244" s="28" t="s">
        <v>339</v>
      </c>
      <c r="B244" s="28" t="s">
        <v>338</v>
      </c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3">
        <f t="shared" si="8"/>
        <v>0</v>
      </c>
      <c r="N244" s="31">
        <v>144</v>
      </c>
      <c r="O244" s="32">
        <f t="shared" si="7"/>
        <v>0</v>
      </c>
    </row>
    <row r="245" spans="1:15" s="11" customFormat="1" ht="27" hidden="1" thickBot="1" x14ac:dyDescent="0.55000000000000004">
      <c r="A245" s="28" t="s">
        <v>340</v>
      </c>
      <c r="B245" s="28" t="s">
        <v>338</v>
      </c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3">
        <f t="shared" si="8"/>
        <v>0</v>
      </c>
      <c r="N245" s="31">
        <v>144</v>
      </c>
      <c r="O245" s="32">
        <f t="shared" si="7"/>
        <v>0</v>
      </c>
    </row>
    <row r="246" spans="1:15" s="11" customFormat="1" ht="27" hidden="1" thickBot="1" x14ac:dyDescent="0.55000000000000004">
      <c r="A246" s="28" t="s">
        <v>341</v>
      </c>
      <c r="B246" s="28" t="s">
        <v>342</v>
      </c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3">
        <f t="shared" si="8"/>
        <v>0</v>
      </c>
      <c r="N246" s="31">
        <v>0</v>
      </c>
      <c r="O246" s="32">
        <f t="shared" si="7"/>
        <v>0</v>
      </c>
    </row>
    <row r="247" spans="1:15" s="11" customFormat="1" ht="27" hidden="1" thickBot="1" x14ac:dyDescent="0.55000000000000004">
      <c r="A247" s="28" t="s">
        <v>343</v>
      </c>
      <c r="B247" s="28" t="s">
        <v>338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3">
        <f t="shared" si="8"/>
        <v>0</v>
      </c>
      <c r="N247" s="31">
        <v>144</v>
      </c>
      <c r="O247" s="32">
        <f t="shared" si="7"/>
        <v>0</v>
      </c>
    </row>
    <row r="248" spans="1:15" s="11" customFormat="1" ht="27" hidden="1" thickBot="1" x14ac:dyDescent="0.55000000000000004">
      <c r="A248" s="28" t="s">
        <v>344</v>
      </c>
      <c r="B248" s="28" t="s">
        <v>338</v>
      </c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3">
        <f t="shared" si="8"/>
        <v>0</v>
      </c>
      <c r="N248" s="31">
        <v>144</v>
      </c>
      <c r="O248" s="32">
        <f t="shared" si="7"/>
        <v>0</v>
      </c>
    </row>
    <row r="249" spans="1:15" s="11" customFormat="1" ht="27" hidden="1" thickBot="1" x14ac:dyDescent="0.55000000000000004">
      <c r="A249" s="28">
        <v>0</v>
      </c>
      <c r="B249" s="28">
        <v>0</v>
      </c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1">
        <f t="shared" si="8"/>
        <v>0</v>
      </c>
      <c r="N249" s="31">
        <v>0</v>
      </c>
      <c r="O249" s="32">
        <f t="shared" si="7"/>
        <v>0</v>
      </c>
    </row>
    <row r="250" spans="1:15" s="11" customFormat="1" ht="27" hidden="1" thickBot="1" x14ac:dyDescent="0.55000000000000004">
      <c r="A250" s="28">
        <v>0</v>
      </c>
      <c r="B250" s="28">
        <v>0</v>
      </c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1">
        <f t="shared" si="8"/>
        <v>0</v>
      </c>
      <c r="N250" s="31">
        <v>0</v>
      </c>
      <c r="O250" s="32">
        <f t="shared" si="7"/>
        <v>0</v>
      </c>
    </row>
    <row r="251" spans="1:15" s="11" customFormat="1" ht="27" hidden="1" thickBot="1" x14ac:dyDescent="0.55000000000000004">
      <c r="A251" s="28" t="s">
        <v>345</v>
      </c>
      <c r="B251" s="28" t="s">
        <v>346</v>
      </c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1">
        <f t="shared" si="8"/>
        <v>0</v>
      </c>
      <c r="N251" s="31">
        <v>0</v>
      </c>
      <c r="O251" s="32">
        <f t="shared" si="7"/>
        <v>0</v>
      </c>
    </row>
    <row r="252" spans="1:15" s="11" customFormat="1" ht="27" hidden="1" thickBot="1" x14ac:dyDescent="0.55000000000000004">
      <c r="A252" s="28" t="s">
        <v>347</v>
      </c>
      <c r="B252" s="28" t="s">
        <v>217</v>
      </c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1">
        <f t="shared" si="8"/>
        <v>0</v>
      </c>
      <c r="N252" s="31">
        <v>7</v>
      </c>
      <c r="O252" s="32">
        <f t="shared" si="7"/>
        <v>0</v>
      </c>
    </row>
    <row r="253" spans="1:15" s="11" customFormat="1" ht="27" hidden="1" thickBot="1" x14ac:dyDescent="0.55000000000000004">
      <c r="A253" s="28" t="s">
        <v>348</v>
      </c>
      <c r="B253" s="28" t="s">
        <v>217</v>
      </c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1">
        <f t="shared" si="8"/>
        <v>0</v>
      </c>
      <c r="N253" s="31">
        <v>7</v>
      </c>
      <c r="O253" s="32">
        <f t="shared" si="7"/>
        <v>0</v>
      </c>
    </row>
    <row r="254" spans="1:15" s="11" customFormat="1" ht="27" hidden="1" thickBot="1" x14ac:dyDescent="0.55000000000000004">
      <c r="A254" s="28" t="s">
        <v>349</v>
      </c>
      <c r="B254" s="28" t="s">
        <v>217</v>
      </c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1">
        <f t="shared" si="8"/>
        <v>0</v>
      </c>
      <c r="N254" s="31">
        <v>7</v>
      </c>
      <c r="O254" s="32">
        <f t="shared" si="7"/>
        <v>0</v>
      </c>
    </row>
    <row r="255" spans="1:15" s="11" customFormat="1" ht="27" hidden="1" thickBot="1" x14ac:dyDescent="0.55000000000000004">
      <c r="A255" s="28" t="s">
        <v>350</v>
      </c>
      <c r="B255" s="28" t="s">
        <v>217</v>
      </c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1">
        <f t="shared" si="8"/>
        <v>0</v>
      </c>
      <c r="N255" s="31">
        <v>7</v>
      </c>
      <c r="O255" s="32">
        <f t="shared" ref="O255:O260" si="9">+M255*N255</f>
        <v>0</v>
      </c>
    </row>
    <row r="256" spans="1:15" s="11" customFormat="1" ht="27" hidden="1" thickBot="1" x14ac:dyDescent="0.55000000000000004">
      <c r="A256" s="28" t="s">
        <v>351</v>
      </c>
      <c r="B256" s="28" t="s">
        <v>217</v>
      </c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1">
        <f t="shared" si="8"/>
        <v>0</v>
      </c>
      <c r="N256" s="31">
        <v>7</v>
      </c>
      <c r="O256" s="32">
        <f t="shared" si="9"/>
        <v>0</v>
      </c>
    </row>
    <row r="257" spans="1:20" s="11" customFormat="1" ht="27" hidden="1" thickBot="1" x14ac:dyDescent="0.55000000000000004">
      <c r="A257" s="28" t="s">
        <v>352</v>
      </c>
      <c r="B257" s="28" t="s">
        <v>217</v>
      </c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1">
        <f t="shared" si="8"/>
        <v>0</v>
      </c>
      <c r="N257" s="31">
        <v>7</v>
      </c>
      <c r="O257" s="32">
        <f t="shared" si="9"/>
        <v>0</v>
      </c>
    </row>
    <row r="258" spans="1:20" s="11" customFormat="1" ht="27" hidden="1" thickBot="1" x14ac:dyDescent="0.55000000000000004">
      <c r="A258" s="28" t="s">
        <v>353</v>
      </c>
      <c r="B258" s="28" t="s">
        <v>217</v>
      </c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1">
        <f t="shared" si="8"/>
        <v>0</v>
      </c>
      <c r="N258" s="31">
        <v>7</v>
      </c>
      <c r="O258" s="32">
        <f t="shared" si="9"/>
        <v>0</v>
      </c>
    </row>
    <row r="259" spans="1:20" s="11" customFormat="1" ht="27" hidden="1" thickBot="1" x14ac:dyDescent="0.55000000000000004">
      <c r="A259" s="28">
        <v>0</v>
      </c>
      <c r="B259" s="28">
        <v>0</v>
      </c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1">
        <f t="shared" si="8"/>
        <v>0</v>
      </c>
      <c r="N259" s="31">
        <v>0</v>
      </c>
      <c r="O259" s="32">
        <f t="shared" si="9"/>
        <v>0</v>
      </c>
    </row>
    <row r="260" spans="1:20" s="11" customFormat="1" ht="27" hidden="1" thickBot="1" x14ac:dyDescent="0.55000000000000004">
      <c r="A260" s="28">
        <v>0</v>
      </c>
      <c r="B260" s="28">
        <v>0</v>
      </c>
      <c r="C260" s="44"/>
      <c r="D260" s="44"/>
      <c r="E260" s="44"/>
      <c r="F260" s="44"/>
      <c r="G260" s="44"/>
      <c r="H260" s="44"/>
      <c r="I260" s="44"/>
      <c r="J260" s="40"/>
      <c r="K260" s="44"/>
      <c r="L260" s="44"/>
      <c r="M260" s="41">
        <f t="shared" si="8"/>
        <v>0</v>
      </c>
      <c r="N260" s="31">
        <v>0</v>
      </c>
      <c r="O260" s="32">
        <f t="shared" si="9"/>
        <v>0</v>
      </c>
    </row>
    <row r="261" spans="1:20" s="39" customFormat="1" ht="27" thickBot="1" x14ac:dyDescent="0.55000000000000004">
      <c r="A261" s="45" t="s">
        <v>354</v>
      </c>
      <c r="B261" s="46"/>
      <c r="C261" s="47">
        <f t="shared" ref="C261:M261" si="10">SUM(C7:C260)</f>
        <v>4482</v>
      </c>
      <c r="D261" s="47">
        <f t="shared" si="10"/>
        <v>389</v>
      </c>
      <c r="E261" s="47">
        <f t="shared" si="10"/>
        <v>1238</v>
      </c>
      <c r="F261" s="47">
        <f t="shared" si="10"/>
        <v>12</v>
      </c>
      <c r="G261" s="47">
        <f t="shared" si="10"/>
        <v>408</v>
      </c>
      <c r="H261" s="47">
        <f t="shared" si="10"/>
        <v>384</v>
      </c>
      <c r="I261" s="47">
        <f t="shared" si="10"/>
        <v>0</v>
      </c>
      <c r="J261" s="47">
        <f t="shared" si="10"/>
        <v>99</v>
      </c>
      <c r="K261" s="47">
        <f t="shared" si="10"/>
        <v>-66</v>
      </c>
      <c r="L261" s="47">
        <f t="shared" si="10"/>
        <v>2651</v>
      </c>
      <c r="M261" s="48">
        <f t="shared" si="10"/>
        <v>4229</v>
      </c>
      <c r="N261" s="49"/>
      <c r="O261" s="50">
        <f>SUM(O7:O260)</f>
        <v>19546</v>
      </c>
    </row>
    <row r="262" spans="1:20" ht="26.25" x14ac:dyDescent="0.5">
      <c r="A262" s="51" t="s">
        <v>355</v>
      </c>
      <c r="B262" s="52"/>
      <c r="C262" s="52"/>
      <c r="D262" s="53">
        <f>SUM(K263:K267)</f>
        <v>19546</v>
      </c>
      <c r="E262" s="19"/>
      <c r="F262" s="19"/>
      <c r="G262" s="19"/>
      <c r="H262" s="19"/>
      <c r="I262" s="19"/>
      <c r="J262" s="19"/>
      <c r="K262" s="19"/>
      <c r="L262" s="54"/>
      <c r="M262" s="19" t="s">
        <v>356</v>
      </c>
      <c r="N262" s="19"/>
      <c r="O262" s="55">
        <f>+SUM(O7:O260)</f>
        <v>19546</v>
      </c>
      <c r="P262" s="56"/>
      <c r="S262" s="325" t="s">
        <v>357</v>
      </c>
      <c r="T262" s="325"/>
    </row>
    <row r="263" spans="1:20" ht="27" x14ac:dyDescent="0.55000000000000004">
      <c r="A263" s="51" t="s">
        <v>358</v>
      </c>
      <c r="B263" s="57">
        <v>6.5000000000000002E-2</v>
      </c>
      <c r="C263" s="57"/>
      <c r="D263" s="58">
        <f>SUM((K264+K263+K266)-D264)</f>
        <v>1020.8356807511736</v>
      </c>
      <c r="E263" s="19"/>
      <c r="F263" s="19"/>
      <c r="G263" s="19"/>
      <c r="H263" s="19"/>
      <c r="I263" s="19"/>
      <c r="J263" s="59" t="s">
        <v>359</v>
      </c>
      <c r="K263" s="52">
        <f>SUM(O7:O99)</f>
        <v>12002</v>
      </c>
      <c r="L263" s="19"/>
      <c r="M263" s="19"/>
      <c r="N263" s="19"/>
      <c r="O263" s="60"/>
      <c r="P263" s="56"/>
      <c r="S263" s="61" t="s">
        <v>61</v>
      </c>
      <c r="T263" s="61"/>
    </row>
    <row r="264" spans="1:20" ht="27" x14ac:dyDescent="0.55000000000000004">
      <c r="A264" s="51" t="s">
        <v>360</v>
      </c>
      <c r="B264" s="57"/>
      <c r="C264" s="57"/>
      <c r="D264" s="58">
        <f>SUM((K264+K263+K266)/(1+B263))</f>
        <v>15705.164319248826</v>
      </c>
      <c r="E264" s="19"/>
      <c r="F264" s="19"/>
      <c r="G264" s="19"/>
      <c r="H264" s="19"/>
      <c r="I264" s="19"/>
      <c r="J264" s="59" t="s">
        <v>361</v>
      </c>
      <c r="K264" s="52">
        <f>SUM(O101:O129)</f>
        <v>400</v>
      </c>
      <c r="L264" s="19"/>
      <c r="M264" s="19"/>
      <c r="N264" s="19"/>
      <c r="O264" s="60"/>
      <c r="P264" s="56" t="s">
        <v>362</v>
      </c>
      <c r="Q264" s="62">
        <v>0</v>
      </c>
      <c r="S264" s="63"/>
      <c r="T264" s="64"/>
    </row>
    <row r="265" spans="1:20" ht="27" x14ac:dyDescent="0.55000000000000004">
      <c r="A265" s="51" t="s">
        <v>363</v>
      </c>
      <c r="B265" s="57"/>
      <c r="C265" s="57"/>
      <c r="D265" s="58">
        <f>K265</f>
        <v>1344</v>
      </c>
      <c r="E265" s="19"/>
      <c r="F265" s="19"/>
      <c r="G265" s="19"/>
      <c r="H265" s="19"/>
      <c r="I265" s="19"/>
      <c r="J265" s="59" t="s">
        <v>44</v>
      </c>
      <c r="K265" s="52">
        <f>O131</f>
        <v>1344</v>
      </c>
      <c r="L265" s="19"/>
      <c r="M265" s="19"/>
      <c r="N265" s="19"/>
      <c r="O265" s="65"/>
      <c r="P265" s="56" t="s">
        <v>364</v>
      </c>
      <c r="Q265" s="62">
        <v>0</v>
      </c>
    </row>
    <row r="266" spans="1:20" ht="27" x14ac:dyDescent="0.55000000000000004">
      <c r="A266" s="51" t="s">
        <v>365</v>
      </c>
      <c r="B266" s="66">
        <v>6.5000000000000002E-2</v>
      </c>
      <c r="C266" s="66"/>
      <c r="D266" s="58">
        <f>K267-D267</f>
        <v>90.084507042253563</v>
      </c>
      <c r="E266" s="19"/>
      <c r="F266" s="19"/>
      <c r="G266" s="19"/>
      <c r="H266" s="19"/>
      <c r="I266" s="19"/>
      <c r="J266" s="59" t="s">
        <v>366</v>
      </c>
      <c r="K266" s="52">
        <f>SUM(O132:O147)</f>
        <v>4324</v>
      </c>
      <c r="L266" s="19"/>
      <c r="M266" s="19"/>
      <c r="N266" s="19"/>
      <c r="O266" s="60"/>
      <c r="P266" s="56" t="s">
        <v>367</v>
      </c>
      <c r="Q266" s="62">
        <v>0</v>
      </c>
    </row>
    <row r="267" spans="1:20" ht="27" x14ac:dyDescent="0.55000000000000004">
      <c r="A267" s="51" t="s">
        <v>368</v>
      </c>
      <c r="B267" s="57"/>
      <c r="C267" s="57"/>
      <c r="D267" s="67">
        <f>K267/(1+B266)</f>
        <v>1385.9154929577464</v>
      </c>
      <c r="E267" s="19"/>
      <c r="F267" s="19"/>
      <c r="G267" s="19"/>
      <c r="H267" s="19"/>
      <c r="I267" s="54"/>
      <c r="J267" s="59" t="s">
        <v>369</v>
      </c>
      <c r="K267" s="68">
        <f>SUM(O149:O260)</f>
        <v>1476</v>
      </c>
      <c r="L267" s="19"/>
      <c r="M267" s="19" t="s">
        <v>370</v>
      </c>
      <c r="N267" s="19"/>
      <c r="O267" s="60">
        <f>+'Daytona CK Recon Report'!G23</f>
        <v>21593</v>
      </c>
      <c r="P267" s="56" t="s">
        <v>371</v>
      </c>
      <c r="Q267" s="62">
        <v>0</v>
      </c>
    </row>
    <row r="268" spans="1:20" ht="27" x14ac:dyDescent="0.55000000000000004">
      <c r="A268" s="51" t="s">
        <v>372</v>
      </c>
      <c r="B268" s="57"/>
      <c r="C268" s="57"/>
      <c r="D268" s="67">
        <f>D264+D265+D267</f>
        <v>18435.079812206572</v>
      </c>
      <c r="E268" s="19"/>
      <c r="F268" s="19"/>
      <c r="G268" s="19"/>
      <c r="H268" s="19"/>
      <c r="I268" s="54"/>
      <c r="J268" s="19"/>
      <c r="K268" s="19"/>
      <c r="L268" s="19"/>
      <c r="M268" s="19" t="s">
        <v>373</v>
      </c>
      <c r="N268" s="19"/>
      <c r="O268" s="31">
        <f>+O267-O262</f>
        <v>2047</v>
      </c>
      <c r="P268" s="56" t="s">
        <v>374</v>
      </c>
      <c r="Q268" s="69">
        <f>SUM(Q264:Q267)</f>
        <v>0</v>
      </c>
    </row>
    <row r="269" spans="1:20" ht="21" customHeight="1" x14ac:dyDescent="0.55000000000000004">
      <c r="A269" s="51" t="s">
        <v>375</v>
      </c>
      <c r="B269" s="57">
        <v>0.1</v>
      </c>
      <c r="C269" s="57"/>
      <c r="D269" s="67">
        <f>SUM((D264+D265)*B269)</f>
        <v>1704.9164319248828</v>
      </c>
      <c r="E269" s="19"/>
      <c r="F269" s="19"/>
      <c r="G269" s="19"/>
      <c r="H269" s="19"/>
      <c r="I269" s="54"/>
      <c r="J269" s="19"/>
      <c r="K269" s="19"/>
      <c r="L269" s="19"/>
      <c r="M269" s="19"/>
      <c r="N269" s="19"/>
      <c r="O269" s="70"/>
      <c r="P269" s="56"/>
      <c r="Q269" s="71"/>
    </row>
    <row r="270" spans="1:20" ht="21" customHeight="1" x14ac:dyDescent="0.55000000000000004">
      <c r="A270" s="51" t="s">
        <v>376</v>
      </c>
      <c r="B270" s="57">
        <v>0.1</v>
      </c>
      <c r="C270" s="57"/>
      <c r="D270" s="67">
        <f>SUM(D267*B270)</f>
        <v>138.59154929577466</v>
      </c>
      <c r="O270" s="320"/>
      <c r="P270" s="72" t="s">
        <v>377</v>
      </c>
      <c r="R270" s="73">
        <f>O268/O267</f>
        <v>9.4799240494604739E-2</v>
      </c>
    </row>
    <row r="271" spans="1:20" ht="21" customHeight="1" x14ac:dyDescent="0.55000000000000004">
      <c r="A271" s="59" t="s">
        <v>378</v>
      </c>
      <c r="B271" s="57"/>
      <c r="C271" s="57"/>
      <c r="D271" s="67">
        <f>SUM(D269:D270)</f>
        <v>1843.5079812206575</v>
      </c>
      <c r="Q271" s="71"/>
    </row>
    <row r="272" spans="1:20" x14ac:dyDescent="0.25">
      <c r="Q272" s="71"/>
    </row>
    <row r="273" spans="1:21" ht="26.25" hidden="1" x14ac:dyDescent="0.5">
      <c r="A273" s="11" t="s">
        <v>379</v>
      </c>
      <c r="P273" s="74"/>
      <c r="Q273" s="75"/>
      <c r="R273" s="76"/>
      <c r="S273" s="76"/>
      <c r="T273" s="76"/>
      <c r="U273" s="76"/>
    </row>
    <row r="274" spans="1:21" hidden="1" x14ac:dyDescent="0.25">
      <c r="P274" s="74"/>
      <c r="Q274" s="76"/>
    </row>
    <row r="275" spans="1:21" ht="14.25" hidden="1" customHeight="1" x14ac:dyDescent="0.3">
      <c r="A275" s="77" t="s">
        <v>60</v>
      </c>
      <c r="B275" s="78" t="str">
        <f>B1</f>
        <v>TRAILER 2 FAN ZONE</v>
      </c>
      <c r="C275" s="78"/>
      <c r="D275" s="79"/>
      <c r="E275" s="80"/>
      <c r="F275" s="80"/>
      <c r="G275" s="80"/>
      <c r="H275" s="80"/>
      <c r="I275" s="79" t="s">
        <v>62</v>
      </c>
      <c r="J275" s="79" t="str">
        <f>J1</f>
        <v>FUTURE REBELS FASTPITCH</v>
      </c>
      <c r="K275" s="79"/>
      <c r="L275" s="81"/>
      <c r="M275" s="80"/>
      <c r="N275" s="82"/>
      <c r="O275" s="80"/>
      <c r="P275" s="83"/>
      <c r="Q275" s="84"/>
    </row>
    <row r="276" spans="1:21" ht="13.5" hidden="1" customHeight="1" x14ac:dyDescent="0.3">
      <c r="A276" s="85" t="s">
        <v>64</v>
      </c>
      <c r="B276" s="86" t="str">
        <f>B2</f>
        <v>Bike Week</v>
      </c>
      <c r="C276" s="86"/>
      <c r="D276" s="87"/>
      <c r="E276" s="88"/>
      <c r="F276" s="88"/>
      <c r="G276" s="88"/>
      <c r="H276" s="88"/>
      <c r="I276" s="87" t="s">
        <v>65</v>
      </c>
      <c r="J276" s="87">
        <f>J2</f>
        <v>56872</v>
      </c>
      <c r="K276" s="87"/>
      <c r="L276" s="19"/>
      <c r="M276" s="88"/>
      <c r="N276" s="89"/>
      <c r="O276" s="88"/>
      <c r="P276" s="19"/>
      <c r="Q276" s="90"/>
    </row>
    <row r="277" spans="1:21" ht="14.25" hidden="1" customHeight="1" x14ac:dyDescent="0.3">
      <c r="A277" s="85" t="s">
        <v>66</v>
      </c>
      <c r="B277" s="326" t="str">
        <f>B3</f>
        <v>3/7/15 &amp; 3/14/15</v>
      </c>
      <c r="C277" s="326"/>
      <c r="D277" s="87"/>
      <c r="E277" s="88"/>
      <c r="F277" s="88"/>
      <c r="G277" s="88"/>
      <c r="H277" s="88"/>
      <c r="I277" s="91"/>
      <c r="J277" s="92" t="s">
        <v>67</v>
      </c>
      <c r="K277" s="93"/>
      <c r="L277" s="87"/>
      <c r="M277" s="88"/>
      <c r="N277" s="94"/>
      <c r="O277" s="88"/>
      <c r="P277" s="19"/>
      <c r="Q277" s="90"/>
    </row>
    <row r="278" spans="1:21" ht="14.25" hidden="1" customHeight="1" x14ac:dyDescent="0.3">
      <c r="A278" s="85" t="s">
        <v>380</v>
      </c>
      <c r="B278" s="86">
        <f>B4</f>
        <v>0</v>
      </c>
      <c r="C278" s="86"/>
      <c r="D278" s="87"/>
      <c r="E278" s="88"/>
      <c r="F278" s="88"/>
      <c r="G278" s="88"/>
      <c r="H278" s="88"/>
      <c r="I278" s="88"/>
      <c r="J278" s="88"/>
      <c r="K278" s="88"/>
      <c r="L278" s="88"/>
      <c r="M278" s="88"/>
      <c r="N278" s="94"/>
      <c r="O278" s="88"/>
      <c r="P278" s="19"/>
      <c r="Q278" s="90"/>
    </row>
    <row r="279" spans="1:21" ht="9.75" hidden="1" customHeight="1" x14ac:dyDescent="0.25">
      <c r="A279" s="95"/>
      <c r="B279" s="88"/>
      <c r="C279" s="18" t="s">
        <v>381</v>
      </c>
      <c r="D279" s="18"/>
      <c r="E279" s="88"/>
      <c r="F279" s="18"/>
      <c r="G279" s="18"/>
      <c r="H279" s="18"/>
      <c r="I279" s="18"/>
      <c r="J279" s="18"/>
      <c r="K279" s="18"/>
      <c r="L279" s="18"/>
      <c r="M279" s="18"/>
      <c r="N279" s="94"/>
      <c r="O279" s="88"/>
      <c r="P279" s="18" t="s">
        <v>382</v>
      </c>
      <c r="Q279" s="90"/>
    </row>
    <row r="280" spans="1:21" ht="9" hidden="1" customHeight="1" x14ac:dyDescent="0.25">
      <c r="A280" s="95" t="s">
        <v>383</v>
      </c>
      <c r="B280" s="88"/>
      <c r="C280" s="18" t="s">
        <v>384</v>
      </c>
      <c r="D280" s="18" t="s">
        <v>72</v>
      </c>
      <c r="E280" s="18" t="s">
        <v>72</v>
      </c>
      <c r="F280" s="18" t="s">
        <v>72</v>
      </c>
      <c r="G280" s="18" t="s">
        <v>72</v>
      </c>
      <c r="H280" s="18" t="s">
        <v>72</v>
      </c>
      <c r="I280" s="18" t="s">
        <v>73</v>
      </c>
      <c r="J280" s="18" t="s">
        <v>73</v>
      </c>
      <c r="K280" s="18" t="s">
        <v>73</v>
      </c>
      <c r="L280" s="18" t="s">
        <v>74</v>
      </c>
      <c r="M280" s="18" t="s">
        <v>74</v>
      </c>
      <c r="N280" s="18" t="s">
        <v>74</v>
      </c>
      <c r="O280" s="18" t="s">
        <v>385</v>
      </c>
      <c r="P280" s="18" t="s">
        <v>384</v>
      </c>
      <c r="Q280" s="96" t="s">
        <v>78</v>
      </c>
      <c r="R280" s="94"/>
      <c r="S280" s="76"/>
    </row>
    <row r="281" spans="1:21" ht="8.25" hidden="1" customHeight="1" x14ac:dyDescent="0.25">
      <c r="A281" s="95"/>
      <c r="B281" s="88"/>
      <c r="C281" s="88"/>
      <c r="D281" s="18" t="s">
        <v>386</v>
      </c>
      <c r="E281" s="18" t="s">
        <v>386</v>
      </c>
      <c r="F281" s="18" t="s">
        <v>386</v>
      </c>
      <c r="G281" s="18" t="s">
        <v>386</v>
      </c>
      <c r="H281" s="18" t="s">
        <v>386</v>
      </c>
      <c r="I281" s="18" t="s">
        <v>387</v>
      </c>
      <c r="J281" s="18" t="s">
        <v>387</v>
      </c>
      <c r="K281" s="18" t="s">
        <v>387</v>
      </c>
      <c r="L281" s="18" t="s">
        <v>387</v>
      </c>
      <c r="M281" s="18" t="s">
        <v>387</v>
      </c>
      <c r="N281" s="18" t="s">
        <v>387</v>
      </c>
      <c r="O281" s="18" t="s">
        <v>387</v>
      </c>
      <c r="P281" s="18" t="s">
        <v>387</v>
      </c>
      <c r="Q281" s="96" t="s">
        <v>388</v>
      </c>
      <c r="R281" s="94"/>
      <c r="S281" s="76"/>
    </row>
    <row r="282" spans="1:21" hidden="1" x14ac:dyDescent="0.25">
      <c r="A282" s="97" t="s">
        <v>389</v>
      </c>
      <c r="B282" s="98" t="s">
        <v>70</v>
      </c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100"/>
      <c r="R282" s="88"/>
      <c r="S282" s="76"/>
    </row>
    <row r="283" spans="1:21" ht="17.25" hidden="1" x14ac:dyDescent="0.3">
      <c r="A283" s="101" t="str">
        <f t="shared" ref="A283:C294" si="11">A7</f>
        <v>BBQ CHICKEN SANDWICH</v>
      </c>
      <c r="B283" s="102" t="str">
        <f t="shared" si="11"/>
        <v>TRAY, 3# HEARTHSTONE</v>
      </c>
      <c r="C283" s="103">
        <f t="shared" si="11"/>
        <v>0</v>
      </c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4">
        <f t="shared" ref="Q283:Q314" si="12">N7</f>
        <v>8</v>
      </c>
      <c r="R283" s="88"/>
      <c r="S283" s="76"/>
    </row>
    <row r="284" spans="1:21" ht="17.25" hidden="1" x14ac:dyDescent="0.3">
      <c r="A284" s="101" t="str">
        <f t="shared" si="11"/>
        <v>BBQ CHICKEN SANDWICH PLATTER</v>
      </c>
      <c r="B284" s="102" t="str">
        <f t="shared" si="11"/>
        <v>PLATE, DIVIDED WHITE</v>
      </c>
      <c r="C284" s="103">
        <f t="shared" si="11"/>
        <v>0</v>
      </c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4">
        <f t="shared" si="12"/>
        <v>10</v>
      </c>
      <c r="S284" s="76"/>
    </row>
    <row r="285" spans="1:21" ht="17.25" hidden="1" x14ac:dyDescent="0.3">
      <c r="A285" s="101" t="str">
        <f t="shared" si="11"/>
        <v>BBQ PORK SANDWICH</v>
      </c>
      <c r="B285" s="102" t="str">
        <f t="shared" si="11"/>
        <v>TRAY, 3# WHITE</v>
      </c>
      <c r="C285" s="103">
        <f t="shared" si="11"/>
        <v>0</v>
      </c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4">
        <f t="shared" si="12"/>
        <v>8</v>
      </c>
      <c r="S285" s="76"/>
    </row>
    <row r="286" spans="1:21" ht="17.25" hidden="1" x14ac:dyDescent="0.3">
      <c r="A286" s="101" t="str">
        <f t="shared" si="11"/>
        <v>BBQ PORK SANDWICH PLATTER</v>
      </c>
      <c r="B286" s="102" t="str">
        <f t="shared" si="11"/>
        <v>PLATE, DIVIDED BLACK</v>
      </c>
      <c r="C286" s="103">
        <f t="shared" si="11"/>
        <v>0</v>
      </c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4">
        <f t="shared" si="12"/>
        <v>10</v>
      </c>
      <c r="S286" s="76"/>
    </row>
    <row r="287" spans="1:21" ht="17.25" hidden="1" x14ac:dyDescent="0.3">
      <c r="A287" s="101" t="str">
        <f t="shared" si="11"/>
        <v>BOJ CAJUN CHICKEN SANDWICH</v>
      </c>
      <c r="B287" s="102" t="str">
        <f t="shared" si="11"/>
        <v>BUN, 4"</v>
      </c>
      <c r="C287" s="103">
        <f t="shared" si="11"/>
        <v>0</v>
      </c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4">
        <f t="shared" si="12"/>
        <v>0</v>
      </c>
      <c r="S287" s="76"/>
    </row>
    <row r="288" spans="1:21" ht="17.25" hidden="1" x14ac:dyDescent="0.3">
      <c r="A288" s="101" t="str">
        <f t="shared" si="11"/>
        <v>BOJ CAJUN CHICKEN SANDWICH</v>
      </c>
      <c r="B288" s="102" t="str">
        <f t="shared" si="11"/>
        <v>FILET</v>
      </c>
      <c r="C288" s="103">
        <f t="shared" si="11"/>
        <v>0</v>
      </c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4">
        <f t="shared" si="12"/>
        <v>5</v>
      </c>
      <c r="S288" s="76"/>
    </row>
    <row r="289" spans="1:17" ht="17.25" hidden="1" x14ac:dyDescent="0.3">
      <c r="A289" s="101" t="str">
        <f t="shared" si="11"/>
        <v>BOJ CHICKEN SUPREMES</v>
      </c>
      <c r="B289" s="102" t="str">
        <f t="shared" si="11"/>
        <v>TRAY, BOJ SNACK BOX</v>
      </c>
      <c r="C289" s="103">
        <f t="shared" si="11"/>
        <v>0</v>
      </c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4">
        <f t="shared" si="12"/>
        <v>7</v>
      </c>
    </row>
    <row r="290" spans="1:17" ht="17.25" hidden="1" x14ac:dyDescent="0.3">
      <c r="A290" s="101" t="str">
        <f t="shared" si="11"/>
        <v>BOJ SEASONED FRIES</v>
      </c>
      <c r="B290" s="102" t="str">
        <f t="shared" si="11"/>
        <v>CUP, BOJ</v>
      </c>
      <c r="C290" s="103">
        <f t="shared" si="11"/>
        <v>0</v>
      </c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4">
        <f t="shared" si="12"/>
        <v>4</v>
      </c>
    </row>
    <row r="291" spans="1:17" ht="17.25" hidden="1" x14ac:dyDescent="0.3">
      <c r="A291" s="101" t="str">
        <f t="shared" si="11"/>
        <v>BREAKFAST SANDWICH</v>
      </c>
      <c r="B291" s="102" t="str">
        <f t="shared" si="11"/>
        <v>SAUSAGE PATTY</v>
      </c>
      <c r="C291" s="103">
        <f t="shared" si="11"/>
        <v>107</v>
      </c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4">
        <f t="shared" si="12"/>
        <v>5</v>
      </c>
    </row>
    <row r="292" spans="1:17" ht="17.25" hidden="1" x14ac:dyDescent="0.3">
      <c r="A292" s="101" t="str">
        <f t="shared" si="11"/>
        <v>CARVED PRIME RIB SANDWICH</v>
      </c>
      <c r="B292" s="102" t="str">
        <f t="shared" si="11"/>
        <v>TRAY, 3# GREEN</v>
      </c>
      <c r="C292" s="103">
        <f t="shared" si="11"/>
        <v>0</v>
      </c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4">
        <f t="shared" si="12"/>
        <v>13</v>
      </c>
    </row>
    <row r="293" spans="1:17" ht="17.25" hidden="1" x14ac:dyDescent="0.3">
      <c r="A293" s="101" t="str">
        <f t="shared" si="11"/>
        <v>CARVED TURKEY SANDWICH</v>
      </c>
      <c r="B293" s="102" t="str">
        <f t="shared" si="11"/>
        <v>TRAY, 3# YELLOW</v>
      </c>
      <c r="C293" s="103">
        <f t="shared" si="11"/>
        <v>0</v>
      </c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4">
        <f t="shared" si="12"/>
        <v>13</v>
      </c>
    </row>
    <row r="294" spans="1:17" ht="17.25" hidden="1" x14ac:dyDescent="0.3">
      <c r="A294" s="101" t="str">
        <f t="shared" si="11"/>
        <v>CHEESEBURGER, ALL AMERICAN</v>
      </c>
      <c r="B294" s="102" t="str">
        <f t="shared" si="11"/>
        <v>TRAY, 3# BLUE</v>
      </c>
      <c r="C294" s="103">
        <f t="shared" si="11"/>
        <v>0</v>
      </c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4">
        <f t="shared" si="12"/>
        <v>2</v>
      </c>
    </row>
    <row r="295" spans="1:17" ht="17.25" hidden="1" x14ac:dyDescent="0.3">
      <c r="A295" s="101" t="str">
        <f t="shared" ref="A295:B314" si="13">A19</f>
        <v>CHEESEBURGER, DOUBLE</v>
      </c>
      <c r="B295" s="102" t="str">
        <f t="shared" si="13"/>
        <v>PATTY</v>
      </c>
      <c r="C295" s="103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4">
        <f t="shared" si="12"/>
        <v>4</v>
      </c>
    </row>
    <row r="296" spans="1:17" ht="17.25" hidden="1" x14ac:dyDescent="0.3">
      <c r="A296" s="101" t="str">
        <f t="shared" si="13"/>
        <v>CHEESEBURGER, JALAPENO BACON PEPPERJACK</v>
      </c>
      <c r="B296" s="102" t="str">
        <f t="shared" si="13"/>
        <v>TRAY, 3# WHITE</v>
      </c>
      <c r="C296" s="103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4">
        <f t="shared" si="12"/>
        <v>2</v>
      </c>
    </row>
    <row r="297" spans="1:17" ht="17.25" hidden="1" x14ac:dyDescent="0.3">
      <c r="A297" s="101" t="str">
        <f t="shared" si="13"/>
        <v>CHEESEBURGER, PASTRAMI SWISS</v>
      </c>
      <c r="B297" s="102" t="str">
        <f t="shared" si="13"/>
        <v>TRAY, 3# ORANGE</v>
      </c>
      <c r="C297" s="103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4">
        <f t="shared" si="12"/>
        <v>2</v>
      </c>
    </row>
    <row r="298" spans="1:17" ht="17.25" hidden="1" x14ac:dyDescent="0.3">
      <c r="A298" s="105" t="str">
        <f t="shared" si="13"/>
        <v>CHEESEBURGER, SINGLE</v>
      </c>
      <c r="B298" s="106" t="str">
        <f t="shared" si="13"/>
        <v>PATTY</v>
      </c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8">
        <f t="shared" si="12"/>
        <v>6</v>
      </c>
    </row>
    <row r="299" spans="1:17" ht="17.25" hidden="1" x14ac:dyDescent="0.3">
      <c r="A299" s="101" t="str">
        <f t="shared" si="13"/>
        <v>CHEESESTEAK, CHICKEN</v>
      </c>
      <c r="B299" s="102" t="str">
        <f t="shared" si="13"/>
        <v>BUN, 8" AMOROSO</v>
      </c>
      <c r="C299" s="103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4">
        <f t="shared" si="12"/>
        <v>4</v>
      </c>
    </row>
    <row r="300" spans="1:17" ht="17.25" hidden="1" x14ac:dyDescent="0.3">
      <c r="A300" s="101" t="str">
        <f t="shared" si="13"/>
        <v>CHEESESTEAK, CHICKEN</v>
      </c>
      <c r="B300" s="102" t="str">
        <f t="shared" si="13"/>
        <v>TRAY, 3# YELLOW</v>
      </c>
      <c r="C300" s="103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4">
        <f t="shared" si="12"/>
        <v>5</v>
      </c>
    </row>
    <row r="301" spans="1:17" ht="17.25" hidden="1" x14ac:dyDescent="0.3">
      <c r="A301" s="101" t="str">
        <f t="shared" si="13"/>
        <v>CHEESESTEAK, CREATE YOUR OWN</v>
      </c>
      <c r="B301" s="102" t="str">
        <f t="shared" si="13"/>
        <v>BUN, 8" AMOROSO</v>
      </c>
      <c r="C301" s="103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4">
        <f t="shared" si="12"/>
        <v>4</v>
      </c>
    </row>
    <row r="302" spans="1:17" ht="17.25" hidden="1" x14ac:dyDescent="0.3">
      <c r="A302" s="101" t="str">
        <f t="shared" si="13"/>
        <v>CHEESESTEAK, CREATE YOUR OWN</v>
      </c>
      <c r="B302" s="102" t="str">
        <f t="shared" si="13"/>
        <v>TRAY, 250# BOAT "USA"</v>
      </c>
      <c r="C302" s="103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4">
        <f t="shared" si="12"/>
        <v>5</v>
      </c>
    </row>
    <row r="303" spans="1:17" ht="17.25" hidden="1" x14ac:dyDescent="0.3">
      <c r="A303" s="101" t="str">
        <f t="shared" si="13"/>
        <v>CHEESESTEAK, PHILLY</v>
      </c>
      <c r="B303" s="102" t="str">
        <f t="shared" si="13"/>
        <v>BUN, 8" AMOROSO</v>
      </c>
      <c r="C303" s="103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4">
        <f t="shared" si="12"/>
        <v>4</v>
      </c>
    </row>
    <row r="304" spans="1:17" ht="17.25" hidden="1" x14ac:dyDescent="0.3">
      <c r="A304" s="101" t="str">
        <f t="shared" si="13"/>
        <v>CHEESESTEAK, PHILLY</v>
      </c>
      <c r="B304" s="102" t="str">
        <f t="shared" si="13"/>
        <v>TRAY, 3# RED</v>
      </c>
      <c r="C304" s="103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4">
        <f t="shared" si="12"/>
        <v>5</v>
      </c>
    </row>
    <row r="305" spans="1:17" ht="17.25" hidden="1" x14ac:dyDescent="0.3">
      <c r="A305" s="101" t="str">
        <f t="shared" si="13"/>
        <v>CHEESESTEAK, TRADITIONAL</v>
      </c>
      <c r="B305" s="102" t="str">
        <f t="shared" si="13"/>
        <v>BUN, 8" AMOROSO</v>
      </c>
      <c r="C305" s="103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4">
        <f t="shared" si="12"/>
        <v>4</v>
      </c>
    </row>
    <row r="306" spans="1:17" ht="17.25" hidden="1" x14ac:dyDescent="0.3">
      <c r="A306" s="101" t="str">
        <f t="shared" si="13"/>
        <v>CHEESESTEAK, TRADITIONAL</v>
      </c>
      <c r="B306" s="102" t="str">
        <f t="shared" si="13"/>
        <v>TRAY, 3# GREEN</v>
      </c>
      <c r="C306" s="103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4">
        <f t="shared" si="12"/>
        <v>5</v>
      </c>
    </row>
    <row r="307" spans="1:17" ht="17.25" hidden="1" x14ac:dyDescent="0.3">
      <c r="A307" s="101" t="str">
        <f t="shared" si="13"/>
        <v>CHEESESTEAK, VEGGIE</v>
      </c>
      <c r="B307" s="102" t="str">
        <f t="shared" si="13"/>
        <v>BUN, 8" AMOROSO</v>
      </c>
      <c r="C307" s="103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4">
        <f t="shared" si="12"/>
        <v>4</v>
      </c>
    </row>
    <row r="308" spans="1:17" ht="17.25" hidden="1" x14ac:dyDescent="0.3">
      <c r="A308" s="101" t="str">
        <f t="shared" si="13"/>
        <v>CHEESESTEAK, VEGGIE</v>
      </c>
      <c r="B308" s="102" t="str">
        <f t="shared" si="13"/>
        <v>TRAY, 3#, WHITE</v>
      </c>
      <c r="C308" s="103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4">
        <f t="shared" si="12"/>
        <v>5</v>
      </c>
    </row>
    <row r="309" spans="1:17" ht="17.25" hidden="1" x14ac:dyDescent="0.3">
      <c r="A309" s="101" t="str">
        <f t="shared" si="13"/>
        <v>CHICKEN TENTERS/WINGS/BONELESS (SAUCED)</v>
      </c>
      <c r="B309" s="102" t="str">
        <f t="shared" si="13"/>
        <v>TRAY, 5" X 6" NACHO</v>
      </c>
      <c r="C309" s="103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4">
        <f t="shared" si="12"/>
        <v>8</v>
      </c>
    </row>
    <row r="310" spans="1:17" ht="17.25" hidden="1" x14ac:dyDescent="0.3">
      <c r="A310" s="101" t="str">
        <f t="shared" si="13"/>
        <v>CHICKEN, GRILLED SANDWICH</v>
      </c>
      <c r="B310" s="102" t="str">
        <f t="shared" si="13"/>
        <v>CHICKEN PATTY</v>
      </c>
      <c r="C310" s="103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4">
        <f t="shared" si="12"/>
        <v>6</v>
      </c>
    </row>
    <row r="311" spans="1:17" ht="17.25" hidden="1" x14ac:dyDescent="0.3">
      <c r="A311" s="101" t="str">
        <f t="shared" si="13"/>
        <v>CHICKEN, TENDERS W/FRIES</v>
      </c>
      <c r="B311" s="102" t="str">
        <f t="shared" si="13"/>
        <v>TRAY, 2# BOAT BLACK</v>
      </c>
      <c r="C311" s="103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4">
        <f t="shared" si="12"/>
        <v>8</v>
      </c>
    </row>
    <row r="312" spans="1:17" ht="17.25" hidden="1" x14ac:dyDescent="0.3">
      <c r="A312" s="101" t="str">
        <f t="shared" si="13"/>
        <v>FOOTLONG CORN DOG</v>
      </c>
      <c r="B312" s="102" t="str">
        <f t="shared" si="13"/>
        <v>CORN DOG</v>
      </c>
      <c r="C312" s="103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4">
        <f t="shared" si="12"/>
        <v>6</v>
      </c>
    </row>
    <row r="313" spans="1:17" ht="17.25" hidden="1" x14ac:dyDescent="0.3">
      <c r="A313" s="101" t="str">
        <f t="shared" si="13"/>
        <v>FRIES, COMBO/VALUE</v>
      </c>
      <c r="B313" s="102" t="str">
        <f t="shared" si="13"/>
        <v>WHITE CUP, 12 OZ.</v>
      </c>
      <c r="C313" s="103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4">
        <f t="shared" si="12"/>
        <v>3</v>
      </c>
    </row>
    <row r="314" spans="1:17" ht="17.25" hidden="1" x14ac:dyDescent="0.3">
      <c r="A314" s="101" t="str">
        <f t="shared" si="13"/>
        <v>FRIES, JUMBO</v>
      </c>
      <c r="B314" s="102" t="str">
        <f t="shared" si="13"/>
        <v>CUP, 32 OZ.</v>
      </c>
      <c r="C314" s="103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4">
        <f t="shared" si="12"/>
        <v>8</v>
      </c>
    </row>
    <row r="315" spans="1:17" ht="17.25" hidden="1" x14ac:dyDescent="0.3">
      <c r="A315" s="101" t="str">
        <f t="shared" ref="A315:B334" si="14">A39</f>
        <v>FRIES, REGULAR</v>
      </c>
      <c r="B315" s="102" t="str">
        <f t="shared" si="14"/>
        <v>FRY CUP, 16 OZ.</v>
      </c>
      <c r="C315" s="103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4">
        <f t="shared" ref="Q315:Q346" si="15">N39</f>
        <v>4</v>
      </c>
    </row>
    <row r="316" spans="1:17" ht="17.25" hidden="1" x14ac:dyDescent="0.3">
      <c r="A316" s="101" t="str">
        <f t="shared" si="14"/>
        <v>GRILLED CHEESE, CLASSIC</v>
      </c>
      <c r="B316" s="102" t="str">
        <f t="shared" si="14"/>
        <v>SANDWICH</v>
      </c>
      <c r="C316" s="103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4">
        <f t="shared" si="15"/>
        <v>3</v>
      </c>
    </row>
    <row r="317" spans="1:17" ht="17.25" hidden="1" x14ac:dyDescent="0.3">
      <c r="A317" s="105" t="str">
        <f t="shared" si="14"/>
        <v>GRILLED CHEESE, CLASSIC</v>
      </c>
      <c r="B317" s="106" t="str">
        <f t="shared" si="14"/>
        <v>TRAY, 250# BOAT "USA"</v>
      </c>
      <c r="C317" s="107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8">
        <f t="shared" si="15"/>
        <v>3</v>
      </c>
    </row>
    <row r="318" spans="1:17" ht="17.25" hidden="1" x14ac:dyDescent="0.3">
      <c r="A318" s="101" t="str">
        <f t="shared" si="14"/>
        <v>GRILLED CHEESE, FOUR CHEESE</v>
      </c>
      <c r="B318" s="102" t="str">
        <f t="shared" si="14"/>
        <v>SANDWICH</v>
      </c>
      <c r="C318" s="103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4">
        <f t="shared" si="15"/>
        <v>4</v>
      </c>
    </row>
    <row r="319" spans="1:17" ht="17.25" hidden="1" x14ac:dyDescent="0.3">
      <c r="A319" s="101" t="str">
        <f t="shared" si="14"/>
        <v>GRILLED CHEESE, FOUR CHEESE</v>
      </c>
      <c r="B319" s="102" t="str">
        <f t="shared" si="14"/>
        <v>TRAY, 3# RED</v>
      </c>
      <c r="C319" s="103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4">
        <f t="shared" si="15"/>
        <v>4</v>
      </c>
    </row>
    <row r="320" spans="1:17" ht="17.25" hidden="1" x14ac:dyDescent="0.3">
      <c r="A320" s="101" t="str">
        <f t="shared" si="14"/>
        <v>GRILLED CHEESE, TOMATO PESTO</v>
      </c>
      <c r="B320" s="102" t="str">
        <f t="shared" si="14"/>
        <v>SANDWICH</v>
      </c>
      <c r="C320" s="103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4">
        <f t="shared" si="15"/>
        <v>4</v>
      </c>
    </row>
    <row r="321" spans="1:17" ht="17.25" hidden="1" x14ac:dyDescent="0.3">
      <c r="A321" s="101" t="str">
        <f t="shared" si="14"/>
        <v>GRILLED CHEESE, TOMATO PESTO</v>
      </c>
      <c r="B321" s="102" t="str">
        <f t="shared" si="14"/>
        <v>TRAY, 3# GREEN</v>
      </c>
      <c r="C321" s="103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4">
        <f t="shared" si="15"/>
        <v>4</v>
      </c>
    </row>
    <row r="322" spans="1:17" ht="17.25" hidden="1" x14ac:dyDescent="0.3">
      <c r="A322" s="101" t="str">
        <f t="shared" si="14"/>
        <v>GRILLED CHEESE, TRIPLE DECKER</v>
      </c>
      <c r="B322" s="102" t="str">
        <f t="shared" si="14"/>
        <v>SANDWICH</v>
      </c>
      <c r="C322" s="103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4">
        <f t="shared" si="15"/>
        <v>6</v>
      </c>
    </row>
    <row r="323" spans="1:17" ht="17.25" hidden="1" x14ac:dyDescent="0.3">
      <c r="A323" s="101" t="str">
        <f t="shared" si="14"/>
        <v>GRILLED CHEESE, TRIPLE DECKER</v>
      </c>
      <c r="B323" s="102" t="str">
        <f t="shared" si="14"/>
        <v>TRAY, 3# YELLOW</v>
      </c>
      <c r="C323" s="103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4">
        <f t="shared" si="15"/>
        <v>6</v>
      </c>
    </row>
    <row r="324" spans="1:17" ht="17.25" hidden="1" x14ac:dyDescent="0.3">
      <c r="A324" s="101" t="str">
        <f t="shared" si="14"/>
        <v>HOT DOG, 2/1 DAYTONA SPDWY/HALF LB.</v>
      </c>
      <c r="B324" s="102" t="str">
        <f t="shared" si="14"/>
        <v>2/1 DOG</v>
      </c>
      <c r="C324" s="103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4">
        <f t="shared" si="15"/>
        <v>7</v>
      </c>
    </row>
    <row r="325" spans="1:17" ht="17.25" hidden="1" x14ac:dyDescent="0.3">
      <c r="A325" s="101" t="str">
        <f t="shared" si="14"/>
        <v>HOT DOG, 2/1 SPECIALTY/FIRECRACKER</v>
      </c>
      <c r="B325" s="102" t="str">
        <f t="shared" si="14"/>
        <v>TRAY, 2.5# BOAT</v>
      </c>
      <c r="C325" s="103">
        <f t="shared" ref="C325:C356" si="16">C19</f>
        <v>0</v>
      </c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4">
        <f t="shared" si="15"/>
        <v>2</v>
      </c>
    </row>
    <row r="326" spans="1:17" ht="17.25" hidden="1" x14ac:dyDescent="0.3">
      <c r="A326" s="101" t="str">
        <f t="shared" si="14"/>
        <v>HOT DOG, 6/1</v>
      </c>
      <c r="B326" s="102" t="str">
        <f t="shared" si="14"/>
        <v>6/1 DOG</v>
      </c>
      <c r="C326" s="103">
        <f t="shared" si="16"/>
        <v>0</v>
      </c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4">
        <f t="shared" si="15"/>
        <v>4</v>
      </c>
    </row>
    <row r="327" spans="1:17" ht="17.25" hidden="1" x14ac:dyDescent="0.3">
      <c r="A327" s="101" t="str">
        <f t="shared" si="14"/>
        <v>HOT DOG, 6/1 BILL FRANCE</v>
      </c>
      <c r="B327" s="102" t="str">
        <f t="shared" si="14"/>
        <v>TRAY, 3# RED</v>
      </c>
      <c r="C327" s="103">
        <f t="shared" si="16"/>
        <v>0</v>
      </c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4">
        <f t="shared" si="15"/>
        <v>2</v>
      </c>
    </row>
    <row r="328" spans="1:17" ht="17.25" hidden="1" x14ac:dyDescent="0.3">
      <c r="A328" s="101" t="str">
        <f t="shared" si="14"/>
        <v>HOT DOG, 6/1 CHILI CHEESE</v>
      </c>
      <c r="B328" s="102" t="str">
        <f t="shared" si="14"/>
        <v>TRAY, 3# BLUE</v>
      </c>
      <c r="C328" s="103">
        <f t="shared" si="16"/>
        <v>800</v>
      </c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4">
        <f t="shared" si="15"/>
        <v>2</v>
      </c>
    </row>
    <row r="329" spans="1:17" ht="17.25" hidden="1" x14ac:dyDescent="0.3">
      <c r="A329" s="101" t="str">
        <f t="shared" si="14"/>
        <v>HOT DOG, 6/1 FIRECRACKER</v>
      </c>
      <c r="B329" s="102" t="str">
        <f t="shared" si="14"/>
        <v>6/1 DOG</v>
      </c>
      <c r="C329" s="103">
        <f t="shared" si="16"/>
        <v>0</v>
      </c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4">
        <f t="shared" si="15"/>
        <v>6</v>
      </c>
    </row>
    <row r="330" spans="1:17" ht="17.25" hidden="1" x14ac:dyDescent="0.3">
      <c r="A330" s="101" t="str">
        <f t="shared" si="14"/>
        <v>HOT DOG, 6/1 FIRECRACKER</v>
      </c>
      <c r="B330" s="102" t="str">
        <f t="shared" si="14"/>
        <v>TRAY, 250# BOAT "USA"</v>
      </c>
      <c r="C330" s="103">
        <f t="shared" si="16"/>
        <v>0</v>
      </c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4">
        <f t="shared" si="15"/>
        <v>2</v>
      </c>
    </row>
    <row r="331" spans="1:17" ht="17.25" hidden="1" x14ac:dyDescent="0.3">
      <c r="A331" s="101" t="str">
        <f t="shared" si="14"/>
        <v>HOT DOG, 6/1 GREEK</v>
      </c>
      <c r="B331" s="102" t="str">
        <f t="shared" si="14"/>
        <v>TRAY, 3# YELLOW</v>
      </c>
      <c r="C331" s="103">
        <f t="shared" si="16"/>
        <v>0</v>
      </c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4">
        <f t="shared" si="15"/>
        <v>2</v>
      </c>
    </row>
    <row r="332" spans="1:17" ht="17.25" hidden="1" x14ac:dyDescent="0.3">
      <c r="A332" s="101" t="str">
        <f t="shared" si="14"/>
        <v>HOT DOG, 6/1 SPECIALTY</v>
      </c>
      <c r="B332" s="102" t="str">
        <f t="shared" si="14"/>
        <v>TRAY, 2.5# BOAT</v>
      </c>
      <c r="C332" s="103">
        <f t="shared" si="16"/>
        <v>0</v>
      </c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4">
        <f t="shared" si="15"/>
        <v>2</v>
      </c>
    </row>
    <row r="333" spans="1:17" ht="17.25" hidden="1" x14ac:dyDescent="0.3">
      <c r="A333" s="101" t="str">
        <f t="shared" si="14"/>
        <v>HOT DOG, 6/1 SPECIALTY</v>
      </c>
      <c r="B333" s="102" t="str">
        <f t="shared" si="14"/>
        <v>6/1 DOG</v>
      </c>
      <c r="C333" s="103">
        <f t="shared" si="16"/>
        <v>0</v>
      </c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4">
        <f t="shared" si="15"/>
        <v>6</v>
      </c>
    </row>
    <row r="334" spans="1:17" ht="17.25" hidden="1" x14ac:dyDescent="0.3">
      <c r="A334" s="101" t="str">
        <f t="shared" si="14"/>
        <v>HOT DOG, 6/1 TACHO</v>
      </c>
      <c r="B334" s="102" t="str">
        <f t="shared" si="14"/>
        <v>TRAY, 3# GREEN</v>
      </c>
      <c r="C334" s="103">
        <f t="shared" si="16"/>
        <v>0</v>
      </c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4">
        <f t="shared" si="15"/>
        <v>2</v>
      </c>
    </row>
    <row r="335" spans="1:17" ht="17.25" hidden="1" x14ac:dyDescent="0.3">
      <c r="A335" s="101" t="str">
        <f t="shared" ref="A335:B346" si="17">A59</f>
        <v>HOT DOG, BILL FRANCE</v>
      </c>
      <c r="B335" s="102" t="str">
        <f t="shared" si="17"/>
        <v>TRAY, 3# RED</v>
      </c>
      <c r="C335" s="103">
        <f t="shared" si="16"/>
        <v>0</v>
      </c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4">
        <f t="shared" si="15"/>
        <v>2</v>
      </c>
    </row>
    <row r="336" spans="1:17" ht="17.25" hidden="1" x14ac:dyDescent="0.3">
      <c r="A336" s="101" t="str">
        <f t="shared" si="17"/>
        <v>HOT DOG, GREEK</v>
      </c>
      <c r="B336" s="102" t="str">
        <f t="shared" si="17"/>
        <v>TRAY, 3# YELLOW</v>
      </c>
      <c r="C336" s="103">
        <f t="shared" si="16"/>
        <v>0</v>
      </c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4">
        <f t="shared" si="15"/>
        <v>2</v>
      </c>
    </row>
    <row r="337" spans="1:17" ht="17.25" hidden="1" x14ac:dyDescent="0.3">
      <c r="A337" s="101" t="str">
        <f t="shared" si="17"/>
        <v>HOT DOG, TACHO</v>
      </c>
      <c r="B337" s="102" t="str">
        <f t="shared" si="17"/>
        <v>TRAY, 3# GREEN</v>
      </c>
      <c r="C337" s="103">
        <f t="shared" si="16"/>
        <v>0</v>
      </c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4">
        <f t="shared" si="15"/>
        <v>2</v>
      </c>
    </row>
    <row r="338" spans="1:17" ht="17.25" hidden="1" x14ac:dyDescent="0.3">
      <c r="A338" s="101" t="str">
        <f t="shared" si="17"/>
        <v>KIDS MEAL</v>
      </c>
      <c r="B338" s="102" t="str">
        <f t="shared" si="17"/>
        <v>BOX, KIDS MEAL</v>
      </c>
      <c r="C338" s="103">
        <f t="shared" si="16"/>
        <v>0</v>
      </c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4">
        <f t="shared" si="15"/>
        <v>5</v>
      </c>
    </row>
    <row r="339" spans="1:17" ht="17.25" hidden="1" x14ac:dyDescent="0.3">
      <c r="A339" s="101" t="str">
        <f t="shared" si="17"/>
        <v>ONION RINGS</v>
      </c>
      <c r="B339" s="102" t="str">
        <f t="shared" si="17"/>
        <v>TRAY, 1#</v>
      </c>
      <c r="C339" s="103">
        <f t="shared" si="16"/>
        <v>0</v>
      </c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4">
        <f t="shared" si="15"/>
        <v>4</v>
      </c>
    </row>
    <row r="340" spans="1:17" ht="17.25" hidden="1" x14ac:dyDescent="0.3">
      <c r="A340" s="101" t="str">
        <f t="shared" si="17"/>
        <v>PANINI ($8 PER SANDWICH =@ $4 PER BREAD SLICE)</v>
      </c>
      <c r="B340" s="102" t="str">
        <f t="shared" si="17"/>
        <v>BREAD, SLICE</v>
      </c>
      <c r="C340" s="103">
        <f t="shared" si="16"/>
        <v>200</v>
      </c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4">
        <f t="shared" si="15"/>
        <v>4</v>
      </c>
    </row>
    <row r="341" spans="1:17" ht="17.25" hidden="1" x14ac:dyDescent="0.3">
      <c r="A341" s="101" t="str">
        <f t="shared" si="17"/>
        <v>PANINI, MARGHERITA</v>
      </c>
      <c r="B341" s="102" t="str">
        <f t="shared" si="17"/>
        <v>PANINI</v>
      </c>
      <c r="C341" s="103">
        <f t="shared" si="16"/>
        <v>0</v>
      </c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4">
        <f t="shared" si="15"/>
        <v>8</v>
      </c>
    </row>
    <row r="342" spans="1:17" ht="17.25" hidden="1" x14ac:dyDescent="0.3">
      <c r="A342" s="101" t="str">
        <f t="shared" si="17"/>
        <v>PANINI, MARGHERITA</v>
      </c>
      <c r="B342" s="102" t="str">
        <f t="shared" si="17"/>
        <v>TRAY, 3# RED</v>
      </c>
      <c r="C342" s="103">
        <f t="shared" si="16"/>
        <v>0</v>
      </c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4">
        <f t="shared" si="15"/>
        <v>2</v>
      </c>
    </row>
    <row r="343" spans="1:17" ht="17.25" hidden="1" x14ac:dyDescent="0.3">
      <c r="A343" s="101" t="str">
        <f t="shared" si="17"/>
        <v>PANINI, PESTO CHICKEN</v>
      </c>
      <c r="B343" s="102" t="str">
        <f t="shared" si="17"/>
        <v>PANINI</v>
      </c>
      <c r="C343" s="103">
        <f t="shared" si="16"/>
        <v>0</v>
      </c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4">
        <f t="shared" si="15"/>
        <v>8</v>
      </c>
    </row>
    <row r="344" spans="1:17" ht="17.25" hidden="1" x14ac:dyDescent="0.3">
      <c r="A344" s="101" t="str">
        <f t="shared" si="17"/>
        <v>PANINI, PESTO CHICKEN</v>
      </c>
      <c r="B344" s="102" t="str">
        <f t="shared" si="17"/>
        <v>TRAY, 3# YELLOW</v>
      </c>
      <c r="C344" s="103">
        <f t="shared" si="16"/>
        <v>0</v>
      </c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4">
        <f t="shared" si="15"/>
        <v>2</v>
      </c>
    </row>
    <row r="345" spans="1:17" ht="17.25" hidden="1" x14ac:dyDescent="0.3">
      <c r="A345" s="101" t="str">
        <f t="shared" si="17"/>
        <v>PANINI, PIZZA</v>
      </c>
      <c r="B345" s="102" t="str">
        <f t="shared" si="17"/>
        <v>PANINI</v>
      </c>
      <c r="C345" s="103">
        <f t="shared" si="16"/>
        <v>1004</v>
      </c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4">
        <f t="shared" si="15"/>
        <v>8</v>
      </c>
    </row>
    <row r="346" spans="1:17" ht="17.25" hidden="1" x14ac:dyDescent="0.3">
      <c r="A346" s="101" t="str">
        <f t="shared" si="17"/>
        <v>PANINI, PIZZA</v>
      </c>
      <c r="B346" s="102" t="str">
        <f t="shared" si="17"/>
        <v>TRAY, 3# GREEN</v>
      </c>
      <c r="C346" s="103">
        <f t="shared" si="16"/>
        <v>0</v>
      </c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4">
        <f t="shared" si="15"/>
        <v>2</v>
      </c>
    </row>
    <row r="347" spans="1:17" ht="17.25" hidden="1" x14ac:dyDescent="0.3">
      <c r="A347" s="101" t="str">
        <f t="shared" ref="A347:B364" si="18">A100</f>
        <v>SNACK ITEMS</v>
      </c>
      <c r="B347" s="102">
        <f t="shared" si="18"/>
        <v>0</v>
      </c>
      <c r="C347" s="103">
        <f t="shared" si="16"/>
        <v>0</v>
      </c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4">
        <f t="shared" ref="Q347:Q364" si="19">N100</f>
        <v>0</v>
      </c>
    </row>
    <row r="348" spans="1:17" ht="17.25" hidden="1" x14ac:dyDescent="0.3">
      <c r="A348" s="101" t="str">
        <f t="shared" si="18"/>
        <v>CANDY</v>
      </c>
      <c r="B348" s="102" t="str">
        <f t="shared" si="18"/>
        <v>BOX</v>
      </c>
      <c r="C348" s="103">
        <f t="shared" si="16"/>
        <v>0</v>
      </c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4">
        <f t="shared" si="19"/>
        <v>5</v>
      </c>
    </row>
    <row r="349" spans="1:17" ht="17.25" hidden="1" x14ac:dyDescent="0.3">
      <c r="A349" s="101" t="str">
        <f t="shared" si="18"/>
        <v xml:space="preserve">CHIPS  </v>
      </c>
      <c r="B349" s="102" t="str">
        <f t="shared" si="18"/>
        <v>BAG</v>
      </c>
      <c r="C349" s="103">
        <f t="shared" si="16"/>
        <v>0</v>
      </c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4">
        <f t="shared" si="19"/>
        <v>2</v>
      </c>
    </row>
    <row r="350" spans="1:17" ht="17.25" hidden="1" x14ac:dyDescent="0.3">
      <c r="A350" s="101" t="str">
        <f t="shared" si="18"/>
        <v>COOKIES</v>
      </c>
      <c r="B350" s="102" t="str">
        <f t="shared" si="18"/>
        <v>BAG</v>
      </c>
      <c r="C350" s="103">
        <f t="shared" si="16"/>
        <v>0</v>
      </c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4">
        <f t="shared" si="19"/>
        <v>2</v>
      </c>
    </row>
    <row r="351" spans="1:17" ht="17.25" hidden="1" x14ac:dyDescent="0.3">
      <c r="A351" s="101" t="str">
        <f t="shared" si="18"/>
        <v>NACHOS, GRANDE</v>
      </c>
      <c r="B351" s="102" t="str">
        <f t="shared" si="18"/>
        <v>TRAY, 7.5" OCTAVIEW</v>
      </c>
      <c r="C351" s="103">
        <f t="shared" si="16"/>
        <v>0</v>
      </c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4">
        <f t="shared" si="19"/>
        <v>8</v>
      </c>
    </row>
    <row r="352" spans="1:17" ht="17.25" hidden="1" x14ac:dyDescent="0.3">
      <c r="A352" s="101" t="str">
        <f t="shared" si="18"/>
        <v>NACHOS, REGULAR W/CHEESE</v>
      </c>
      <c r="B352" s="102" t="str">
        <f t="shared" si="18"/>
        <v>TRAY, 2 COMP.</v>
      </c>
      <c r="C352" s="103">
        <f t="shared" si="16"/>
        <v>0</v>
      </c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4">
        <f t="shared" si="19"/>
        <v>6</v>
      </c>
    </row>
    <row r="353" spans="1:17" ht="17.25" hidden="1" x14ac:dyDescent="0.3">
      <c r="A353" s="101" t="str">
        <f t="shared" si="18"/>
        <v>NACHOS, TACO</v>
      </c>
      <c r="B353" s="102" t="str">
        <f t="shared" si="18"/>
        <v>TRAY, 7.5" OCTAVIEW</v>
      </c>
      <c r="C353" s="103">
        <f t="shared" si="16"/>
        <v>0</v>
      </c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4">
        <f t="shared" si="19"/>
        <v>9</v>
      </c>
    </row>
    <row r="354" spans="1:17" ht="17.25" hidden="1" x14ac:dyDescent="0.3">
      <c r="A354" s="101" t="str">
        <f t="shared" si="18"/>
        <v>NACHOS, ULTIMATE</v>
      </c>
      <c r="B354" s="102" t="str">
        <f t="shared" si="18"/>
        <v>TRAY, 7.5" OCTAVIEW</v>
      </c>
      <c r="C354" s="103">
        <f t="shared" si="16"/>
        <v>0</v>
      </c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4">
        <f t="shared" si="19"/>
        <v>10</v>
      </c>
    </row>
    <row r="355" spans="1:17" ht="17.25" hidden="1" x14ac:dyDescent="0.3">
      <c r="A355" s="101" t="str">
        <f t="shared" si="18"/>
        <v>PEANUTS</v>
      </c>
      <c r="B355" s="102" t="str">
        <f t="shared" si="18"/>
        <v>BAG</v>
      </c>
      <c r="C355" s="103">
        <f t="shared" si="16"/>
        <v>0</v>
      </c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4">
        <f t="shared" si="19"/>
        <v>5</v>
      </c>
    </row>
    <row r="356" spans="1:17" ht="17.25" hidden="1" x14ac:dyDescent="0.3">
      <c r="A356" s="101" t="str">
        <f t="shared" si="18"/>
        <v>POPCORN</v>
      </c>
      <c r="B356" s="102" t="str">
        <f t="shared" si="18"/>
        <v>BAG</v>
      </c>
      <c r="C356" s="103">
        <f t="shared" si="16"/>
        <v>600</v>
      </c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4">
        <f t="shared" si="19"/>
        <v>5</v>
      </c>
    </row>
    <row r="357" spans="1:17" ht="17.25" hidden="1" x14ac:dyDescent="0.3">
      <c r="A357" s="101" t="str">
        <f t="shared" si="18"/>
        <v>POPCORN, FRESH</v>
      </c>
      <c r="B357" s="102" t="str">
        <f t="shared" si="18"/>
        <v>POPCORN BOX</v>
      </c>
      <c r="C357" s="103">
        <f t="shared" ref="C357:C376" si="20">C51</f>
        <v>0</v>
      </c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4">
        <f t="shared" si="19"/>
        <v>4</v>
      </c>
    </row>
    <row r="358" spans="1:17" ht="17.25" hidden="1" x14ac:dyDescent="0.3">
      <c r="A358" s="101" t="str">
        <f t="shared" si="18"/>
        <v>PRETZEL</v>
      </c>
      <c r="B358" s="102" t="str">
        <f t="shared" si="18"/>
        <v>PRETZEL</v>
      </c>
      <c r="C358" s="103">
        <f t="shared" si="20"/>
        <v>0</v>
      </c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4">
        <f t="shared" si="19"/>
        <v>5</v>
      </c>
    </row>
    <row r="359" spans="1:17" ht="17.25" hidden="1" x14ac:dyDescent="0.3">
      <c r="A359" s="101" t="str">
        <f t="shared" si="18"/>
        <v>PRETZEL CHEESE CUP</v>
      </c>
      <c r="B359" s="102" t="str">
        <f t="shared" si="18"/>
        <v>CHEESE CUP</v>
      </c>
      <c r="C359" s="103">
        <f t="shared" si="20"/>
        <v>0</v>
      </c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4">
        <f t="shared" si="19"/>
        <v>0</v>
      </c>
    </row>
    <row r="360" spans="1:17" ht="17.25" hidden="1" x14ac:dyDescent="0.3">
      <c r="A360" s="101">
        <f t="shared" si="18"/>
        <v>0</v>
      </c>
      <c r="B360" s="102">
        <f t="shared" si="18"/>
        <v>0</v>
      </c>
      <c r="C360" s="103">
        <f t="shared" si="20"/>
        <v>0</v>
      </c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4">
        <f t="shared" si="19"/>
        <v>0</v>
      </c>
    </row>
    <row r="361" spans="1:17" ht="17.25" hidden="1" x14ac:dyDescent="0.3">
      <c r="A361" s="105">
        <f t="shared" si="18"/>
        <v>0</v>
      </c>
      <c r="B361" s="106">
        <f t="shared" si="18"/>
        <v>0</v>
      </c>
      <c r="C361" s="107">
        <f t="shared" si="20"/>
        <v>0</v>
      </c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8">
        <f t="shared" si="19"/>
        <v>0</v>
      </c>
    </row>
    <row r="362" spans="1:17" ht="17.25" hidden="1" x14ac:dyDescent="0.3">
      <c r="A362" s="101">
        <f t="shared" si="18"/>
        <v>0</v>
      </c>
      <c r="B362" s="102">
        <f t="shared" si="18"/>
        <v>0</v>
      </c>
      <c r="C362" s="103">
        <f t="shared" si="20"/>
        <v>0</v>
      </c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4">
        <f t="shared" si="19"/>
        <v>0</v>
      </c>
    </row>
    <row r="363" spans="1:17" ht="17.25" hidden="1" x14ac:dyDescent="0.3">
      <c r="A363" s="101">
        <f t="shared" si="18"/>
        <v>0</v>
      </c>
      <c r="B363" s="102">
        <f t="shared" si="18"/>
        <v>0</v>
      </c>
      <c r="C363" s="103">
        <f t="shared" si="20"/>
        <v>0</v>
      </c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4">
        <f t="shared" si="19"/>
        <v>0</v>
      </c>
    </row>
    <row r="364" spans="1:17" ht="17.25" hidden="1" x14ac:dyDescent="0.3">
      <c r="A364" s="101">
        <f t="shared" si="18"/>
        <v>0</v>
      </c>
      <c r="B364" s="102">
        <f t="shared" si="18"/>
        <v>0</v>
      </c>
      <c r="C364" s="103">
        <f t="shared" si="20"/>
        <v>0</v>
      </c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4">
        <f t="shared" si="19"/>
        <v>0</v>
      </c>
    </row>
    <row r="365" spans="1:17" ht="17.25" hidden="1" x14ac:dyDescent="0.3">
      <c r="A365" s="101" t="str">
        <f t="shared" ref="A365:B384" si="21">A130</f>
        <v>BEVERAGE ITEMS</v>
      </c>
      <c r="B365" s="102">
        <f t="shared" si="21"/>
        <v>0</v>
      </c>
      <c r="C365" s="103">
        <f t="shared" si="20"/>
        <v>0</v>
      </c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4">
        <f t="shared" ref="Q365:Q406" si="22">N130</f>
        <v>0</v>
      </c>
    </row>
    <row r="366" spans="1:17" ht="17.25" hidden="1" x14ac:dyDescent="0.3">
      <c r="A366" s="101" t="str">
        <f t="shared" si="21"/>
        <v>WATER 20OZ</v>
      </c>
      <c r="B366" s="102" t="str">
        <f t="shared" si="21"/>
        <v>BTL</v>
      </c>
      <c r="C366" s="103">
        <f t="shared" si="20"/>
        <v>0</v>
      </c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4">
        <f t="shared" si="22"/>
        <v>4</v>
      </c>
    </row>
    <row r="367" spans="1:17" ht="17.25" hidden="1" x14ac:dyDescent="0.3">
      <c r="A367" s="101" t="str">
        <f t="shared" si="21"/>
        <v>COKE</v>
      </c>
      <c r="B367" s="102" t="str">
        <f t="shared" si="21"/>
        <v>BTL</v>
      </c>
      <c r="C367" s="103">
        <f t="shared" si="20"/>
        <v>0</v>
      </c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4">
        <f t="shared" si="22"/>
        <v>4</v>
      </c>
    </row>
    <row r="368" spans="1:17" ht="17.25" hidden="1" x14ac:dyDescent="0.3">
      <c r="A368" s="101" t="str">
        <f t="shared" si="21"/>
        <v>DIET</v>
      </c>
      <c r="B368" s="102" t="str">
        <f t="shared" si="21"/>
        <v>BTL</v>
      </c>
      <c r="C368" s="103">
        <f t="shared" si="20"/>
        <v>0</v>
      </c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4">
        <f t="shared" si="22"/>
        <v>4</v>
      </c>
    </row>
    <row r="369" spans="1:17" ht="17.25" hidden="1" x14ac:dyDescent="0.3">
      <c r="A369" s="105" t="str">
        <f t="shared" si="21"/>
        <v>SPRITE</v>
      </c>
      <c r="B369" s="106" t="str">
        <f t="shared" si="21"/>
        <v>BTL</v>
      </c>
      <c r="C369" s="107">
        <f t="shared" si="20"/>
        <v>0</v>
      </c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8">
        <f t="shared" si="22"/>
        <v>4</v>
      </c>
    </row>
    <row r="370" spans="1:17" ht="17.25" hidden="1" x14ac:dyDescent="0.3">
      <c r="A370" s="101" t="str">
        <f t="shared" si="21"/>
        <v>ZERO</v>
      </c>
      <c r="B370" s="102" t="str">
        <f t="shared" si="21"/>
        <v>BTL</v>
      </c>
      <c r="C370" s="103">
        <f t="shared" si="20"/>
        <v>0</v>
      </c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4">
        <f t="shared" si="22"/>
        <v>4</v>
      </c>
    </row>
    <row r="371" spans="1:17" ht="17.25" hidden="1" x14ac:dyDescent="0.3">
      <c r="A371" s="105" t="str">
        <f t="shared" si="21"/>
        <v>MELLO YELLO</v>
      </c>
      <c r="B371" s="106" t="str">
        <f t="shared" si="21"/>
        <v>BTL</v>
      </c>
      <c r="C371" s="107">
        <f t="shared" si="20"/>
        <v>0</v>
      </c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8">
        <f t="shared" si="22"/>
        <v>4</v>
      </c>
    </row>
    <row r="372" spans="1:17" ht="17.25" hidden="1" x14ac:dyDescent="0.3">
      <c r="A372" s="101" t="str">
        <f t="shared" si="21"/>
        <v xml:space="preserve">GATORADE </v>
      </c>
      <c r="B372" s="102" t="str">
        <f t="shared" si="21"/>
        <v>BTL</v>
      </c>
      <c r="C372" s="103">
        <f t="shared" si="20"/>
        <v>0</v>
      </c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4">
        <f t="shared" si="22"/>
        <v>4</v>
      </c>
    </row>
    <row r="373" spans="1:17" ht="17.25" hidden="1" x14ac:dyDescent="0.3">
      <c r="A373" s="101" t="str">
        <f t="shared" si="21"/>
        <v>FULL THROTTLE</v>
      </c>
      <c r="B373" s="102" t="str">
        <f t="shared" si="21"/>
        <v>CAN</v>
      </c>
      <c r="C373" s="103">
        <f t="shared" si="20"/>
        <v>0</v>
      </c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4">
        <f t="shared" si="22"/>
        <v>5</v>
      </c>
    </row>
    <row r="374" spans="1:17" ht="17.25" hidden="1" x14ac:dyDescent="0.3">
      <c r="A374" s="101" t="str">
        <f t="shared" si="21"/>
        <v>SOUV CUP OF ICE</v>
      </c>
      <c r="B374" s="102" t="str">
        <f t="shared" si="21"/>
        <v>CUP, 22 OZ.</v>
      </c>
      <c r="C374" s="103">
        <f t="shared" si="20"/>
        <v>0</v>
      </c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4">
        <f t="shared" si="22"/>
        <v>1</v>
      </c>
    </row>
    <row r="375" spans="1:17" ht="17.25" hidden="1" x14ac:dyDescent="0.3">
      <c r="A375" s="101" t="str">
        <f t="shared" si="21"/>
        <v>COFFEE/HOT COCOA</v>
      </c>
      <c r="B375" s="102" t="str">
        <f t="shared" si="21"/>
        <v>CUP, 16 OZ.</v>
      </c>
      <c r="C375" s="103">
        <f t="shared" si="20"/>
        <v>0</v>
      </c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4">
        <f t="shared" si="22"/>
        <v>4</v>
      </c>
    </row>
    <row r="376" spans="1:17" ht="17.25" hidden="1" x14ac:dyDescent="0.3">
      <c r="A376" s="101" t="str">
        <f t="shared" si="21"/>
        <v>BOJ ICED TEA</v>
      </c>
      <c r="B376" s="102" t="str">
        <f t="shared" si="21"/>
        <v>CUP, 32 OZ.</v>
      </c>
      <c r="C376" s="103">
        <f t="shared" si="20"/>
        <v>0</v>
      </c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4">
        <f t="shared" si="22"/>
        <v>5</v>
      </c>
    </row>
    <row r="377" spans="1:17" ht="17.25" hidden="1" x14ac:dyDescent="0.3">
      <c r="A377" s="101" t="str">
        <f t="shared" si="21"/>
        <v>TEA, SWEET OR UNSWEET</v>
      </c>
      <c r="B377" s="102" t="str">
        <f t="shared" si="21"/>
        <v>TEA CUP</v>
      </c>
      <c r="C377" s="103">
        <f t="shared" ref="C377:C394" si="23">C100</f>
        <v>0</v>
      </c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4">
        <f t="shared" si="22"/>
        <v>5</v>
      </c>
    </row>
    <row r="378" spans="1:17" ht="17.25" hidden="1" x14ac:dyDescent="0.3">
      <c r="A378" s="101" t="str">
        <f t="shared" si="21"/>
        <v>TERVIS - SODA</v>
      </c>
      <c r="B378" s="102" t="str">
        <f t="shared" si="21"/>
        <v>TERVIS COUPON</v>
      </c>
      <c r="C378" s="103">
        <f t="shared" si="23"/>
        <v>19</v>
      </c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4">
        <f t="shared" si="22"/>
        <v>4</v>
      </c>
    </row>
    <row r="379" spans="1:17" ht="17.25" hidden="1" x14ac:dyDescent="0.3">
      <c r="A379" s="101">
        <f t="shared" si="21"/>
        <v>0</v>
      </c>
      <c r="B379" s="102">
        <f t="shared" si="21"/>
        <v>0</v>
      </c>
      <c r="C379" s="103">
        <f t="shared" si="23"/>
        <v>0</v>
      </c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4">
        <f t="shared" si="22"/>
        <v>0</v>
      </c>
    </row>
    <row r="380" spans="1:17" ht="17.25" hidden="1" x14ac:dyDescent="0.3">
      <c r="A380" s="101" t="str">
        <f t="shared" si="21"/>
        <v>ICE</v>
      </c>
      <c r="B380" s="102" t="str">
        <f t="shared" si="21"/>
        <v>BAG</v>
      </c>
      <c r="C380" s="103">
        <f t="shared" si="23"/>
        <v>0</v>
      </c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4">
        <f t="shared" si="22"/>
        <v>10</v>
      </c>
    </row>
    <row r="381" spans="1:17" ht="17.25" hidden="1" x14ac:dyDescent="0.3">
      <c r="A381" s="101">
        <f t="shared" si="21"/>
        <v>0</v>
      </c>
      <c r="B381" s="102">
        <f t="shared" si="21"/>
        <v>0</v>
      </c>
      <c r="C381" s="103">
        <f t="shared" si="23"/>
        <v>0</v>
      </c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4">
        <f t="shared" si="22"/>
        <v>0</v>
      </c>
    </row>
    <row r="382" spans="1:17" ht="17.25" hidden="1" x14ac:dyDescent="0.3">
      <c r="A382" s="101">
        <f t="shared" si="21"/>
        <v>0</v>
      </c>
      <c r="B382" s="102">
        <f t="shared" si="21"/>
        <v>0</v>
      </c>
      <c r="C382" s="103">
        <f t="shared" si="23"/>
        <v>0</v>
      </c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4">
        <f t="shared" si="22"/>
        <v>0</v>
      </c>
    </row>
    <row r="383" spans="1:17" ht="17.25" hidden="1" x14ac:dyDescent="0.3">
      <c r="A383" s="101" t="str">
        <f t="shared" si="21"/>
        <v>ALCOHOL ITEMS</v>
      </c>
      <c r="B383" s="102">
        <f t="shared" si="21"/>
        <v>0</v>
      </c>
      <c r="C383" s="103">
        <f t="shared" si="23"/>
        <v>0</v>
      </c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4">
        <f t="shared" si="22"/>
        <v>0</v>
      </c>
    </row>
    <row r="384" spans="1:17" ht="17.25" hidden="1" x14ac:dyDescent="0.3">
      <c r="A384" s="101" t="str">
        <f t="shared" si="21"/>
        <v>BEER, BUD</v>
      </c>
      <c r="B384" s="102" t="str">
        <f t="shared" si="21"/>
        <v>CAN</v>
      </c>
      <c r="C384" s="103">
        <f t="shared" si="23"/>
        <v>0</v>
      </c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4">
        <f t="shared" si="22"/>
        <v>6</v>
      </c>
    </row>
    <row r="385" spans="1:17" ht="17.25" hidden="1" x14ac:dyDescent="0.3">
      <c r="A385" s="105" t="str">
        <f t="shared" ref="A385:B404" si="24">A150</f>
        <v xml:space="preserve">BEER, BUD LIGHT </v>
      </c>
      <c r="B385" s="106" t="str">
        <f t="shared" si="24"/>
        <v>CAN</v>
      </c>
      <c r="C385" s="107">
        <f t="shared" si="23"/>
        <v>36</v>
      </c>
      <c r="D385" s="107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8">
        <f t="shared" si="22"/>
        <v>6</v>
      </c>
    </row>
    <row r="386" spans="1:17" ht="17.25" hidden="1" x14ac:dyDescent="0.3">
      <c r="A386" s="101" t="str">
        <f t="shared" si="24"/>
        <v>BEER, COORS LIGHT</v>
      </c>
      <c r="B386" s="102" t="str">
        <f t="shared" si="24"/>
        <v>CAN</v>
      </c>
      <c r="C386" s="103">
        <f t="shared" si="23"/>
        <v>0</v>
      </c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4">
        <f t="shared" si="22"/>
        <v>6</v>
      </c>
    </row>
    <row r="387" spans="1:17" ht="17.25" hidden="1" x14ac:dyDescent="0.3">
      <c r="A387" s="105" t="str">
        <f t="shared" si="24"/>
        <v>BEER, MILLER LITE</v>
      </c>
      <c r="B387" s="106" t="str">
        <f t="shared" si="24"/>
        <v>CAN</v>
      </c>
      <c r="C387" s="107">
        <f t="shared" si="23"/>
        <v>0</v>
      </c>
      <c r="D387" s="107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8">
        <f t="shared" si="22"/>
        <v>6</v>
      </c>
    </row>
    <row r="388" spans="1:17" ht="17.25" hidden="1" x14ac:dyDescent="0.3">
      <c r="A388" s="101" t="str">
        <f t="shared" si="24"/>
        <v>BEER, MICHELOB ULTRA</v>
      </c>
      <c r="B388" s="102" t="str">
        <f t="shared" si="24"/>
        <v>CAN</v>
      </c>
      <c r="C388" s="103">
        <f t="shared" si="23"/>
        <v>0</v>
      </c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4">
        <f t="shared" si="22"/>
        <v>6</v>
      </c>
    </row>
    <row r="389" spans="1:17" ht="17.25" hidden="1" x14ac:dyDescent="0.3">
      <c r="A389" s="105" t="str">
        <f t="shared" si="24"/>
        <v>BEER, BUD ALUM</v>
      </c>
      <c r="B389" s="106" t="str">
        <f t="shared" si="24"/>
        <v>AL BTL</v>
      </c>
      <c r="C389" s="107">
        <f t="shared" si="23"/>
        <v>0</v>
      </c>
      <c r="D389" s="107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8">
        <f t="shared" si="22"/>
        <v>7</v>
      </c>
    </row>
    <row r="390" spans="1:17" ht="17.25" hidden="1" x14ac:dyDescent="0.3">
      <c r="A390" s="101" t="str">
        <f t="shared" si="24"/>
        <v>BEER, BUD LIGHT ALUM</v>
      </c>
      <c r="B390" s="102" t="str">
        <f t="shared" si="24"/>
        <v>AL BTL</v>
      </c>
      <c r="C390" s="103">
        <f t="shared" si="23"/>
        <v>0</v>
      </c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4">
        <f t="shared" si="22"/>
        <v>7</v>
      </c>
    </row>
    <row r="391" spans="1:17" ht="17.25" hidden="1" x14ac:dyDescent="0.3">
      <c r="A391" s="101" t="str">
        <f t="shared" si="24"/>
        <v>BEER, MICHELOB ULTRA ALUM</v>
      </c>
      <c r="B391" s="102" t="str">
        <f t="shared" si="24"/>
        <v>AL BTL</v>
      </c>
      <c r="C391" s="103">
        <f t="shared" si="23"/>
        <v>0</v>
      </c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4">
        <f t="shared" si="22"/>
        <v>7</v>
      </c>
    </row>
    <row r="392" spans="1:17" ht="17.25" hidden="1" x14ac:dyDescent="0.3">
      <c r="A392" s="101" t="str">
        <f t="shared" si="24"/>
        <v>BEER, BUD LIGHT LIME ALUM</v>
      </c>
      <c r="B392" s="102" t="str">
        <f t="shared" si="24"/>
        <v>AL BTL</v>
      </c>
      <c r="C392" s="103">
        <f t="shared" si="23"/>
        <v>0</v>
      </c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4">
        <f t="shared" si="22"/>
        <v>7</v>
      </c>
    </row>
    <row r="393" spans="1:17" ht="17.25" hidden="1" x14ac:dyDescent="0.3">
      <c r="A393" s="101" t="str">
        <f t="shared" si="24"/>
        <v>BEER, BUD FAN APPRECIATION</v>
      </c>
      <c r="B393" s="102" t="str">
        <f t="shared" si="24"/>
        <v>CAN, 12 OZ.</v>
      </c>
      <c r="C393" s="103">
        <f t="shared" si="23"/>
        <v>0</v>
      </c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4">
        <f t="shared" si="22"/>
        <v>4</v>
      </c>
    </row>
    <row r="394" spans="1:17" ht="17.25" hidden="1" x14ac:dyDescent="0.3">
      <c r="A394" s="101">
        <f t="shared" si="24"/>
        <v>0</v>
      </c>
      <c r="B394" s="102">
        <f t="shared" si="24"/>
        <v>0</v>
      </c>
      <c r="C394" s="103">
        <f t="shared" si="23"/>
        <v>0</v>
      </c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4">
        <f t="shared" si="22"/>
        <v>0</v>
      </c>
    </row>
    <row r="395" spans="1:17" ht="17.25" hidden="1" x14ac:dyDescent="0.3">
      <c r="A395" s="101" t="str">
        <f t="shared" si="24"/>
        <v>BEER, DRAFT DOMESTIC</v>
      </c>
      <c r="B395" s="102" t="str">
        <f t="shared" si="24"/>
        <v>CUP, 24 OZ. LOGO</v>
      </c>
      <c r="C395" s="103">
        <f t="shared" ref="C395:C405" si="25">C130</f>
        <v>0</v>
      </c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4">
        <f t="shared" si="22"/>
        <v>9</v>
      </c>
    </row>
    <row r="396" spans="1:17" ht="17.25" hidden="1" x14ac:dyDescent="0.3">
      <c r="A396" s="105" t="str">
        <f t="shared" si="24"/>
        <v>BEER, DRAFT PREMIUM</v>
      </c>
      <c r="B396" s="106" t="str">
        <f t="shared" si="24"/>
        <v>CUP, 16 OZ. LOGO</v>
      </c>
      <c r="C396" s="107">
        <f t="shared" si="25"/>
        <v>240</v>
      </c>
      <c r="D396" s="107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8">
        <f t="shared" si="22"/>
        <v>9</v>
      </c>
    </row>
    <row r="397" spans="1:17" ht="17.25" hidden="1" x14ac:dyDescent="0.3">
      <c r="A397" s="101">
        <f t="shared" si="24"/>
        <v>0</v>
      </c>
      <c r="B397" s="102">
        <f t="shared" si="24"/>
        <v>0</v>
      </c>
      <c r="C397" s="103">
        <f t="shared" si="25"/>
        <v>144</v>
      </c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4">
        <f t="shared" si="22"/>
        <v>0</v>
      </c>
    </row>
    <row r="398" spans="1:17" ht="17.25" hidden="1" x14ac:dyDescent="0.3">
      <c r="A398" s="101" t="str">
        <f t="shared" si="24"/>
        <v>BEER, LANDSHARK</v>
      </c>
      <c r="B398" s="102" t="str">
        <f t="shared" si="24"/>
        <v>CAN</v>
      </c>
      <c r="C398" s="103">
        <f t="shared" si="25"/>
        <v>72</v>
      </c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4">
        <f t="shared" si="22"/>
        <v>7</v>
      </c>
    </row>
    <row r="399" spans="1:17" ht="17.25" hidden="1" x14ac:dyDescent="0.3">
      <c r="A399" s="101" t="str">
        <f t="shared" si="24"/>
        <v>BEER, SHOCK TOP BELGIUM WHITE</v>
      </c>
      <c r="B399" s="102" t="str">
        <f t="shared" si="24"/>
        <v>CAN</v>
      </c>
      <c r="C399" s="103">
        <f t="shared" si="25"/>
        <v>144</v>
      </c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4">
        <f t="shared" si="22"/>
        <v>7</v>
      </c>
    </row>
    <row r="400" spans="1:17" ht="17.25" hidden="1" x14ac:dyDescent="0.3">
      <c r="A400" s="101" t="str">
        <f t="shared" si="24"/>
        <v>BEER, SHOCK TOP SHANDY</v>
      </c>
      <c r="B400" s="102" t="str">
        <f t="shared" si="24"/>
        <v>CAN</v>
      </c>
      <c r="C400" s="103">
        <f t="shared" si="25"/>
        <v>48</v>
      </c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4">
        <f t="shared" si="22"/>
        <v>7</v>
      </c>
    </row>
    <row r="401" spans="1:17" ht="17.25" hidden="1" x14ac:dyDescent="0.3">
      <c r="A401" s="101" t="str">
        <f t="shared" si="24"/>
        <v>BEER, STELLA</v>
      </c>
      <c r="B401" s="102" t="str">
        <f t="shared" si="24"/>
        <v>CAN</v>
      </c>
      <c r="C401" s="103">
        <f t="shared" si="25"/>
        <v>96</v>
      </c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4">
        <f t="shared" si="22"/>
        <v>7</v>
      </c>
    </row>
    <row r="402" spans="1:17" ht="17.25" hidden="1" x14ac:dyDescent="0.3">
      <c r="A402" s="101" t="str">
        <f t="shared" si="24"/>
        <v>BEER, DRAFT</v>
      </c>
      <c r="B402" s="102" t="str">
        <f t="shared" si="24"/>
        <v>CUP</v>
      </c>
      <c r="C402" s="103">
        <f t="shared" si="25"/>
        <v>336</v>
      </c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4">
        <f t="shared" si="22"/>
        <v>9</v>
      </c>
    </row>
    <row r="403" spans="1:17" ht="17.25" hidden="1" x14ac:dyDescent="0.3">
      <c r="A403" s="105" t="str">
        <f t="shared" si="24"/>
        <v>MALT, LIME A RITA</v>
      </c>
      <c r="B403" s="106" t="str">
        <f t="shared" si="24"/>
        <v>CAN</v>
      </c>
      <c r="C403" s="107">
        <f t="shared" si="25"/>
        <v>0</v>
      </c>
      <c r="D403" s="107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8">
        <f t="shared" si="22"/>
        <v>8</v>
      </c>
    </row>
    <row r="404" spans="1:17" ht="17.25" hidden="1" x14ac:dyDescent="0.3">
      <c r="A404" s="101" t="str">
        <f t="shared" si="24"/>
        <v>MALT, STRAWBER-RITA</v>
      </c>
      <c r="B404" s="102" t="str">
        <f t="shared" si="24"/>
        <v>CAN</v>
      </c>
      <c r="C404" s="103">
        <f t="shared" si="25"/>
        <v>0</v>
      </c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4">
        <f t="shared" si="22"/>
        <v>8</v>
      </c>
    </row>
    <row r="405" spans="1:17" ht="17.25" hidden="1" x14ac:dyDescent="0.3">
      <c r="A405" s="101" t="str">
        <f>A170</f>
        <v>MALT, JOHNNY APPLE SEED CIDER</v>
      </c>
      <c r="B405" s="102" t="str">
        <f>B170</f>
        <v>CAN</v>
      </c>
      <c r="C405" s="103">
        <f t="shared" si="25"/>
        <v>300</v>
      </c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4">
        <f t="shared" si="22"/>
        <v>8</v>
      </c>
    </row>
    <row r="406" spans="1:17" ht="17.25" hidden="1" x14ac:dyDescent="0.3">
      <c r="A406" s="101">
        <f>A171</f>
        <v>0</v>
      </c>
      <c r="B406" s="102">
        <f>B171</f>
        <v>0</v>
      </c>
      <c r="C406" s="103">
        <f t="shared" ref="C406:C411" si="26">C155</f>
        <v>0</v>
      </c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4">
        <f t="shared" si="22"/>
        <v>0</v>
      </c>
    </row>
    <row r="407" spans="1:17" ht="17.25" hidden="1" x14ac:dyDescent="0.3">
      <c r="A407" s="101" t="str">
        <f t="shared" ref="A407:B412" si="27">A172</f>
        <v>BUCKET</v>
      </c>
      <c r="B407" s="102" t="str">
        <f t="shared" si="27"/>
        <v>BUCKET</v>
      </c>
      <c r="C407" s="103">
        <f t="shared" si="26"/>
        <v>0</v>
      </c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4">
        <f t="shared" ref="Q407:Q428" si="28">N172</f>
        <v>1</v>
      </c>
    </row>
    <row r="408" spans="1:17" ht="17.25" hidden="1" x14ac:dyDescent="0.3">
      <c r="A408" s="109">
        <f t="shared" si="27"/>
        <v>0</v>
      </c>
      <c r="B408" s="110">
        <f t="shared" si="27"/>
        <v>0</v>
      </c>
      <c r="C408" s="111">
        <f t="shared" si="26"/>
        <v>0</v>
      </c>
      <c r="D408" s="111"/>
      <c r="E408" s="111"/>
      <c r="F408" s="111"/>
      <c r="G408" s="111"/>
      <c r="H408" s="111"/>
      <c r="I408" s="111"/>
      <c r="J408" s="111"/>
      <c r="K408" s="111"/>
      <c r="L408" s="111"/>
      <c r="M408" s="111"/>
      <c r="N408" s="111"/>
      <c r="O408" s="111"/>
      <c r="P408" s="111"/>
      <c r="Q408" s="112">
        <f t="shared" si="28"/>
        <v>0</v>
      </c>
    </row>
    <row r="409" spans="1:17" ht="17.25" hidden="1" x14ac:dyDescent="0.3">
      <c r="A409" s="101">
        <f t="shared" si="27"/>
        <v>0</v>
      </c>
      <c r="B409" s="102">
        <f t="shared" si="27"/>
        <v>0</v>
      </c>
      <c r="C409" s="103">
        <f t="shared" si="26"/>
        <v>0</v>
      </c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4">
        <f t="shared" si="28"/>
        <v>0</v>
      </c>
    </row>
    <row r="410" spans="1:17" ht="17.25" hidden="1" x14ac:dyDescent="0.3">
      <c r="A410" s="101">
        <f t="shared" si="27"/>
        <v>0</v>
      </c>
      <c r="B410" s="102">
        <f t="shared" si="27"/>
        <v>0</v>
      </c>
      <c r="C410" s="103">
        <f t="shared" si="26"/>
        <v>0</v>
      </c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4">
        <f t="shared" si="28"/>
        <v>0</v>
      </c>
    </row>
    <row r="411" spans="1:17" ht="17.25" hidden="1" x14ac:dyDescent="0.3">
      <c r="A411" s="101" t="str">
        <f t="shared" si="27"/>
        <v>DRINKS, BOMBERS</v>
      </c>
      <c r="B411" s="102" t="str">
        <f t="shared" si="27"/>
        <v>CUP, BOMBER</v>
      </c>
      <c r="C411" s="103">
        <f t="shared" si="26"/>
        <v>0</v>
      </c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4">
        <f t="shared" si="28"/>
        <v>10</v>
      </c>
    </row>
    <row r="412" spans="1:17" ht="17.25" hidden="1" x14ac:dyDescent="0.3">
      <c r="A412" s="101" t="str">
        <f t="shared" si="27"/>
        <v>DRINKS, FROZEN</v>
      </c>
      <c r="B412" s="102" t="str">
        <f t="shared" si="27"/>
        <v>CUP, 12 OZ. CLEAR</v>
      </c>
      <c r="C412" s="103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4">
        <f t="shared" si="28"/>
        <v>1</v>
      </c>
    </row>
    <row r="413" spans="1:17" ht="17.25" hidden="1" x14ac:dyDescent="0.3">
      <c r="A413" s="101" t="str">
        <f t="shared" ref="A413:B428" si="29">A178</f>
        <v>DRINKS, MIXED</v>
      </c>
      <c r="B413" s="102" t="str">
        <f t="shared" si="29"/>
        <v>CUP, 9 OZ. SQUAT CLEAR</v>
      </c>
      <c r="C413" s="103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4">
        <f t="shared" si="28"/>
        <v>0</v>
      </c>
    </row>
    <row r="414" spans="1:17" ht="17.25" hidden="1" x14ac:dyDescent="0.3">
      <c r="A414" s="101" t="str">
        <f t="shared" si="29"/>
        <v>DRINKS, MIXED W/PATRON</v>
      </c>
      <c r="B414" s="102" t="str">
        <f t="shared" si="29"/>
        <v>CUP, 9 OZ. TRANS.</v>
      </c>
      <c r="C414" s="103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4">
        <f t="shared" si="28"/>
        <v>0</v>
      </c>
    </row>
    <row r="415" spans="1:17" ht="17.25" hidden="1" x14ac:dyDescent="0.3">
      <c r="A415" s="101" t="str">
        <f t="shared" si="29"/>
        <v>DRINKS, SHOT</v>
      </c>
      <c r="B415" s="102" t="str">
        <f t="shared" si="29"/>
        <v>CUP, PLASTIC SHOT GLASS CLEAR</v>
      </c>
      <c r="C415" s="103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4">
        <f t="shared" si="28"/>
        <v>0</v>
      </c>
    </row>
    <row r="416" spans="1:17" ht="17.25" hidden="1" x14ac:dyDescent="0.3">
      <c r="A416" s="101" t="str">
        <f t="shared" si="29"/>
        <v>DRINKS, SHOT W/PATRON</v>
      </c>
      <c r="B416" s="102" t="str">
        <f t="shared" si="29"/>
        <v>CUP, PLASTIC SHOT GLASS COLORED</v>
      </c>
      <c r="C416" s="103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4">
        <f t="shared" si="28"/>
        <v>0</v>
      </c>
    </row>
    <row r="417" spans="1:17" ht="17.25" hidden="1" x14ac:dyDescent="0.3">
      <c r="A417" s="101" t="str">
        <f t="shared" si="29"/>
        <v>LIQUOR, CROWN ROYAL 1L</v>
      </c>
      <c r="B417" s="102" t="str">
        <f t="shared" si="29"/>
        <v>BTL, 25 DRINKS/1L (@ $8 EA.)</v>
      </c>
      <c r="C417" s="103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4">
        <f t="shared" si="28"/>
        <v>200</v>
      </c>
    </row>
    <row r="418" spans="1:17" ht="17.25" hidden="1" x14ac:dyDescent="0.3">
      <c r="A418" s="101" t="str">
        <f t="shared" si="29"/>
        <v>LIQUOR, GIN PINNACLE 1L</v>
      </c>
      <c r="B418" s="102" t="str">
        <f t="shared" si="29"/>
        <v>BTL, 25 DRINKS/1L (@ $8 EA.)</v>
      </c>
      <c r="C418" s="103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4">
        <f t="shared" si="28"/>
        <v>200</v>
      </c>
    </row>
    <row r="419" spans="1:17" ht="17.25" hidden="1" x14ac:dyDescent="0.3">
      <c r="A419" s="101" t="str">
        <f t="shared" si="29"/>
        <v>LIQUOR, GIN SEAGRAM'S</v>
      </c>
      <c r="B419" s="102" t="str">
        <f t="shared" si="29"/>
        <v>BTL, 25 DRINKS/1L (@ $8 EA.)</v>
      </c>
      <c r="C419" s="103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4">
        <f t="shared" si="28"/>
        <v>200</v>
      </c>
    </row>
    <row r="420" spans="1:17" ht="17.25" hidden="1" x14ac:dyDescent="0.3">
      <c r="A420" s="101" t="str">
        <f t="shared" si="29"/>
        <v>LIQUOR, GIN TANQUERAY</v>
      </c>
      <c r="B420" s="102" t="str">
        <f t="shared" si="29"/>
        <v>BTL, 25 DRINKS/1L (@ $8 EA.)</v>
      </c>
      <c r="C420" s="103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4">
        <f t="shared" si="28"/>
        <v>200</v>
      </c>
    </row>
    <row r="421" spans="1:17" ht="17.25" hidden="1" x14ac:dyDescent="0.3">
      <c r="A421" s="101" t="str">
        <f t="shared" si="29"/>
        <v xml:space="preserve">LIQUOR, JACK DANIELS  </v>
      </c>
      <c r="B421" s="102" t="str">
        <f t="shared" si="29"/>
        <v>BTL, 25 DRINKS/1L (@ $8 EA.)</v>
      </c>
      <c r="C421" s="103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4">
        <f t="shared" si="28"/>
        <v>200</v>
      </c>
    </row>
    <row r="422" spans="1:17" ht="17.25" hidden="1" x14ac:dyDescent="0.3">
      <c r="A422" s="101" t="str">
        <f t="shared" si="29"/>
        <v>LIQUOR, JACK DANIELS BLACK</v>
      </c>
      <c r="B422" s="102" t="str">
        <f t="shared" si="29"/>
        <v>BTL, 25 DRINKS/1L (@ $8 EA.)</v>
      </c>
      <c r="C422" s="103">
        <f>C161</f>
        <v>0</v>
      </c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4">
        <f t="shared" si="28"/>
        <v>200</v>
      </c>
    </row>
    <row r="423" spans="1:17" ht="17.25" hidden="1" x14ac:dyDescent="0.3">
      <c r="A423" s="101" t="str">
        <f t="shared" si="29"/>
        <v>LIQUOR, JACK DANIELS GENTLEMAN JACK</v>
      </c>
      <c r="B423" s="102" t="str">
        <f t="shared" si="29"/>
        <v>BTL, 25 DRINKS/1L (@ $8 EA.)</v>
      </c>
      <c r="C423" s="103">
        <f>C162</f>
        <v>0</v>
      </c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4">
        <f t="shared" si="28"/>
        <v>200</v>
      </c>
    </row>
    <row r="424" spans="1:17" ht="17.25" hidden="1" x14ac:dyDescent="0.3">
      <c r="A424" s="101" t="str">
        <f t="shared" si="29"/>
        <v>LIQUOR, JACK DANIELS HONEY</v>
      </c>
      <c r="B424" s="102" t="str">
        <f t="shared" si="29"/>
        <v>BTL, 25 DRINKS/1L (@ $8 EA.)</v>
      </c>
      <c r="C424" s="103">
        <f>C163</f>
        <v>0</v>
      </c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4">
        <f t="shared" si="28"/>
        <v>200</v>
      </c>
    </row>
    <row r="425" spans="1:17" ht="17.25" hidden="1" x14ac:dyDescent="0.3">
      <c r="A425" s="101" t="str">
        <f t="shared" si="29"/>
        <v>LIQUOR, JACK DANIELS RYE</v>
      </c>
      <c r="B425" s="102" t="str">
        <f t="shared" si="29"/>
        <v>BTL, 25 DRINKS/1L (@ $8 EA.)</v>
      </c>
      <c r="C425" s="103">
        <f>C164</f>
        <v>0</v>
      </c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4">
        <f t="shared" si="28"/>
        <v>200</v>
      </c>
    </row>
    <row r="426" spans="1:17" ht="17.25" hidden="1" x14ac:dyDescent="0.3">
      <c r="A426" s="101" t="str">
        <f t="shared" si="29"/>
        <v>LIQUOR, JACK DANIELS SINGLE BARREL</v>
      </c>
      <c r="B426" s="102" t="str">
        <f t="shared" si="29"/>
        <v>BTL, 25 DRINKS/1L (@ $8 EA.)</v>
      </c>
      <c r="C426" s="103">
        <f>C165</f>
        <v>0</v>
      </c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4">
        <f t="shared" si="28"/>
        <v>200</v>
      </c>
    </row>
    <row r="427" spans="1:17" ht="17.25" hidden="1" x14ac:dyDescent="0.3">
      <c r="A427" s="101" t="str">
        <f t="shared" si="29"/>
        <v>LIQUOR, JAGERMEISTER 1L</v>
      </c>
      <c r="B427" s="102" t="str">
        <f t="shared" si="29"/>
        <v>BTL, 25 DRINKS/1L (@ $8 EA.)</v>
      </c>
      <c r="C427" s="103">
        <f>C192</f>
        <v>0</v>
      </c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4">
        <f t="shared" si="28"/>
        <v>200</v>
      </c>
    </row>
    <row r="428" spans="1:17" ht="17.25" hidden="1" x14ac:dyDescent="0.3">
      <c r="A428" s="101" t="str">
        <f t="shared" si="29"/>
        <v>LIQUOR, JIM BEAM</v>
      </c>
      <c r="B428" s="102" t="str">
        <f t="shared" si="29"/>
        <v>BTL, 25 DRINKS/1L (@ $8 EA.)</v>
      </c>
      <c r="C428" s="103">
        <f>C193</f>
        <v>0</v>
      </c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4">
        <f t="shared" si="28"/>
        <v>200</v>
      </c>
    </row>
    <row r="429" spans="1:17" ht="17.25" hidden="1" x14ac:dyDescent="0.3">
      <c r="A429" s="105" t="str">
        <f>A194</f>
        <v>LIQUOR, JIM BEAM BLACK</v>
      </c>
      <c r="B429" s="106" t="str">
        <f>B194</f>
        <v>BTL, 25 DRINKS/1L (@ $8 EA.)</v>
      </c>
      <c r="C429" s="107">
        <f>C194</f>
        <v>0</v>
      </c>
      <c r="D429" s="107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8">
        <f>N194</f>
        <v>200</v>
      </c>
    </row>
    <row r="430" spans="1:17" ht="17.25" hidden="1" x14ac:dyDescent="0.3">
      <c r="A430" s="101" t="str">
        <f>A195</f>
        <v>LIQUOR, JIM BEAM BLACK CHERRY</v>
      </c>
      <c r="B430" s="102" t="str">
        <f>B195</f>
        <v>BTL, 25 DRINKS/1L (@ $8 EA.)</v>
      </c>
      <c r="C430" s="103">
        <f>C195</f>
        <v>0</v>
      </c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4">
        <f>N195</f>
        <v>200</v>
      </c>
    </row>
    <row r="431" spans="1:17" ht="18" hidden="1" thickBot="1" x14ac:dyDescent="0.35">
      <c r="A431" s="113" t="e">
        <f>#REF!</f>
        <v>#REF!</v>
      </c>
      <c r="B431" s="114" t="e">
        <f>#REF!</f>
        <v>#REF!</v>
      </c>
      <c r="C431" s="115" t="e">
        <f>#REF!</f>
        <v>#REF!</v>
      </c>
      <c r="D431" s="115"/>
      <c r="E431" s="115"/>
      <c r="F431" s="115"/>
      <c r="G431" s="115"/>
      <c r="H431" s="115"/>
      <c r="I431" s="115"/>
      <c r="J431" s="115"/>
      <c r="K431" s="115"/>
      <c r="L431" s="115"/>
      <c r="M431" s="115"/>
      <c r="N431" s="115"/>
      <c r="O431" s="115"/>
      <c r="P431" s="115"/>
      <c r="Q431" s="116" t="e">
        <f>#REF!</f>
        <v>#REF!</v>
      </c>
    </row>
    <row r="432" spans="1:17" hidden="1" x14ac:dyDescent="0.25"/>
    <row r="433" spans="1:17" hidden="1" x14ac:dyDescent="0.25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</row>
    <row r="434" spans="1:17" s="120" customFormat="1" ht="38.25" hidden="1" x14ac:dyDescent="0.7">
      <c r="A434" s="117"/>
      <c r="B434" s="118"/>
      <c r="C434" s="118"/>
      <c r="D434" s="118"/>
      <c r="E434" s="118"/>
      <c r="F434" s="118"/>
      <c r="G434" s="118"/>
      <c r="H434" s="118"/>
      <c r="I434" s="119"/>
      <c r="J434" s="119"/>
      <c r="K434" s="119"/>
      <c r="L434" s="119"/>
      <c r="M434" s="119"/>
      <c r="N434" s="119"/>
      <c r="O434" s="119"/>
      <c r="P434" s="119"/>
    </row>
    <row r="435" spans="1:17" s="120" customFormat="1" ht="38.25" hidden="1" x14ac:dyDescent="0.7">
      <c r="A435" s="117"/>
      <c r="B435" s="118"/>
      <c r="C435" s="118"/>
      <c r="D435" s="119"/>
      <c r="E435" s="119"/>
      <c r="F435" s="117"/>
      <c r="G435" s="119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</row>
    <row r="436" spans="1:17" s="126" customFormat="1" ht="20.25" hidden="1" x14ac:dyDescent="0.35">
      <c r="A436" s="121"/>
      <c r="B436" s="122"/>
      <c r="C436" s="122"/>
      <c r="D436" s="122"/>
      <c r="E436" s="123"/>
      <c r="F436" s="123"/>
      <c r="G436" s="123"/>
      <c r="H436" s="123"/>
      <c r="I436" s="123"/>
      <c r="J436" s="123"/>
      <c r="K436" s="123"/>
      <c r="L436" s="123"/>
      <c r="M436" s="123"/>
      <c r="N436" s="123"/>
      <c r="O436" s="124"/>
      <c r="P436" s="125"/>
      <c r="Q436" s="125"/>
    </row>
    <row r="437" spans="1:17" s="120" customFormat="1" ht="38.25" hidden="1" x14ac:dyDescent="0.7">
      <c r="A437" s="127" t="s">
        <v>390</v>
      </c>
      <c r="B437" s="118"/>
      <c r="C437" s="118"/>
      <c r="D437" s="118"/>
      <c r="E437" s="118"/>
      <c r="F437" s="118"/>
      <c r="G437" s="118"/>
      <c r="H437" s="118"/>
      <c r="I437" s="119"/>
      <c r="J437" s="119"/>
      <c r="K437" s="119"/>
      <c r="L437" s="119"/>
      <c r="M437" s="119"/>
      <c r="N437" s="119"/>
      <c r="O437" s="128"/>
      <c r="P437" s="119"/>
      <c r="Q437" s="119"/>
    </row>
    <row r="438" spans="1:17" s="120" customFormat="1" ht="38.25" hidden="1" x14ac:dyDescent="0.7">
      <c r="A438" s="127" t="s">
        <v>391</v>
      </c>
      <c r="B438" s="118"/>
      <c r="C438" s="118"/>
      <c r="D438" s="119"/>
      <c r="E438" s="119"/>
      <c r="F438" s="117"/>
      <c r="G438" s="118"/>
      <c r="H438" s="118"/>
      <c r="I438" s="118"/>
      <c r="J438" s="118"/>
      <c r="K438" s="118"/>
      <c r="L438" s="118"/>
      <c r="M438" s="119"/>
      <c r="N438" s="119"/>
      <c r="O438" s="128"/>
      <c r="P438" s="119"/>
      <c r="Q438" s="119"/>
    </row>
    <row r="439" spans="1:17" s="126" customFormat="1" ht="20.25" hidden="1" x14ac:dyDescent="0.35">
      <c r="A439" s="129"/>
      <c r="B439" s="59"/>
      <c r="C439" s="59"/>
      <c r="D439" s="59"/>
      <c r="E439" s="125"/>
      <c r="F439" s="125"/>
      <c r="G439" s="125"/>
      <c r="H439" s="125"/>
      <c r="I439" s="125"/>
      <c r="J439" s="125"/>
      <c r="K439" s="125"/>
      <c r="L439" s="125"/>
      <c r="M439" s="125"/>
      <c r="N439" s="125"/>
      <c r="O439" s="130"/>
      <c r="P439" s="125"/>
      <c r="Q439" s="125"/>
    </row>
    <row r="440" spans="1:17" s="135" customFormat="1" ht="31.5" hidden="1" x14ac:dyDescent="0.55000000000000004">
      <c r="A440" s="131"/>
      <c r="B440" s="132"/>
      <c r="C440" s="132"/>
      <c r="D440" s="132"/>
      <c r="E440" s="132"/>
      <c r="F440" s="133"/>
      <c r="G440" s="132" t="s">
        <v>392</v>
      </c>
      <c r="H440" s="134"/>
      <c r="I440" s="133"/>
      <c r="J440" s="133"/>
      <c r="K440" s="133"/>
      <c r="L440" s="133"/>
      <c r="M440" s="133"/>
      <c r="N440" s="327">
        <v>710200</v>
      </c>
      <c r="O440" s="328"/>
      <c r="P440" s="133"/>
      <c r="Q440" s="133"/>
    </row>
    <row r="441" spans="1:17" s="135" customFormat="1" ht="25.5" hidden="1" customHeight="1" x14ac:dyDescent="0.55000000000000004">
      <c r="A441" s="131"/>
      <c r="B441" s="132"/>
      <c r="C441" s="132"/>
      <c r="D441" s="132"/>
      <c r="E441" s="132"/>
      <c r="F441" s="133"/>
      <c r="G441" s="132" t="s">
        <v>393</v>
      </c>
      <c r="H441" s="132"/>
      <c r="I441" s="133"/>
      <c r="J441" s="133"/>
      <c r="K441" s="133"/>
      <c r="L441" s="133"/>
      <c r="M441" s="133"/>
      <c r="N441" s="327">
        <v>40170</v>
      </c>
      <c r="O441" s="328"/>
      <c r="P441" s="133"/>
      <c r="Q441" s="133"/>
    </row>
    <row r="442" spans="1:17" s="135" customFormat="1" ht="31.5" hidden="1" x14ac:dyDescent="0.55000000000000004">
      <c r="A442" s="131" t="s">
        <v>394</v>
      </c>
      <c r="B442" s="132" t="str">
        <f>B2</f>
        <v>Bike Week</v>
      </c>
      <c r="C442" s="132"/>
      <c r="D442" s="132"/>
      <c r="E442" s="132"/>
      <c r="F442" s="133"/>
      <c r="G442" s="132" t="s">
        <v>395</v>
      </c>
      <c r="H442" s="132"/>
      <c r="I442" s="133"/>
      <c r="J442" s="133"/>
      <c r="K442" s="133"/>
      <c r="L442" s="133"/>
      <c r="M442" s="133"/>
      <c r="N442" s="133"/>
      <c r="O442" s="136">
        <v>117014</v>
      </c>
      <c r="P442" s="133"/>
      <c r="Q442" s="133"/>
    </row>
    <row r="443" spans="1:17" s="135" customFormat="1" ht="31.5" hidden="1" x14ac:dyDescent="0.55000000000000004">
      <c r="A443" s="131" t="s">
        <v>396</v>
      </c>
      <c r="B443" s="137" t="str">
        <f>B3</f>
        <v>3/7/15 &amp; 3/14/15</v>
      </c>
      <c r="C443" s="137"/>
      <c r="D443" s="137"/>
      <c r="E443" s="132"/>
      <c r="F443" s="133"/>
      <c r="G443" s="132" t="s">
        <v>397</v>
      </c>
      <c r="H443" s="137"/>
      <c r="I443" s="133"/>
      <c r="J443" s="133"/>
      <c r="K443" s="133"/>
      <c r="L443" s="133"/>
      <c r="M443" s="133"/>
      <c r="N443" s="133"/>
      <c r="O443" s="138" t="str">
        <f>B443</f>
        <v>3/7/15 &amp; 3/14/15</v>
      </c>
      <c r="P443" s="133"/>
      <c r="Q443" s="133"/>
    </row>
    <row r="444" spans="1:17" s="135" customFormat="1" ht="31.5" hidden="1" x14ac:dyDescent="0.55000000000000004">
      <c r="A444" s="131" t="s">
        <v>398</v>
      </c>
      <c r="B444" s="137">
        <f>B4</f>
        <v>0</v>
      </c>
      <c r="C444" s="132"/>
      <c r="D444" s="132"/>
      <c r="E444" s="132"/>
      <c r="F444" s="133"/>
      <c r="G444" s="132" t="s">
        <v>399</v>
      </c>
      <c r="H444" s="139"/>
      <c r="I444" s="133"/>
      <c r="J444" s="133"/>
      <c r="K444" s="133"/>
      <c r="L444" s="133"/>
      <c r="M444" s="133"/>
      <c r="N444" s="133"/>
      <c r="O444" s="140" t="str">
        <f>B445</f>
        <v>TRAILER 2 FAN ZONE</v>
      </c>
      <c r="P444" s="133"/>
      <c r="Q444" s="133"/>
    </row>
    <row r="445" spans="1:17" s="135" customFormat="1" ht="31.5" hidden="1" x14ac:dyDescent="0.55000000000000004">
      <c r="A445" s="131" t="s">
        <v>400</v>
      </c>
      <c r="B445" s="141" t="str">
        <f>B1</f>
        <v>TRAILER 2 FAN ZONE</v>
      </c>
      <c r="C445" s="142"/>
      <c r="D445" s="142"/>
      <c r="E445" s="132"/>
      <c r="F445" s="133"/>
      <c r="G445" s="132" t="s">
        <v>401</v>
      </c>
      <c r="H445" s="133"/>
      <c r="I445" s="133"/>
      <c r="J445" s="133"/>
      <c r="K445" s="133"/>
      <c r="L445" s="133"/>
      <c r="M445" s="133"/>
      <c r="N445" s="133"/>
      <c r="O445" s="136" t="str">
        <f>J1</f>
        <v>FUTURE REBELS FASTPITCH</v>
      </c>
      <c r="P445" s="133"/>
      <c r="Q445" s="133"/>
    </row>
    <row r="446" spans="1:17" s="135" customFormat="1" ht="25.5" hidden="1" customHeight="1" x14ac:dyDescent="0.55000000000000004">
      <c r="A446" s="143"/>
      <c r="B446" s="133"/>
      <c r="C446" s="133"/>
      <c r="D446" s="133"/>
      <c r="E446" s="132"/>
      <c r="F446" s="133"/>
      <c r="G446" s="132" t="s">
        <v>402</v>
      </c>
      <c r="H446" s="133"/>
      <c r="I446" s="133"/>
      <c r="J446" s="133"/>
      <c r="K446" s="133"/>
      <c r="L446" s="133"/>
      <c r="M446" s="133"/>
      <c r="N446" s="327">
        <f>J2</f>
        <v>56872</v>
      </c>
      <c r="O446" s="328"/>
      <c r="P446" s="133"/>
      <c r="Q446" s="133"/>
    </row>
    <row r="447" spans="1:17" s="135" customFormat="1" ht="34.5" hidden="1" thickBot="1" x14ac:dyDescent="0.75">
      <c r="A447" s="144"/>
      <c r="B447" s="145"/>
      <c r="C447" s="145"/>
      <c r="D447" s="145"/>
      <c r="E447" s="146"/>
      <c r="F447" s="147"/>
      <c r="G447" s="145"/>
      <c r="H447" s="145"/>
      <c r="I447" s="148"/>
      <c r="J447" s="148"/>
      <c r="K447" s="148"/>
      <c r="L447" s="148"/>
      <c r="M447" s="148"/>
      <c r="N447" s="148"/>
      <c r="O447" s="149"/>
      <c r="P447" s="133"/>
      <c r="Q447" s="133"/>
    </row>
    <row r="448" spans="1:17" s="135" customFormat="1" ht="33.75" hidden="1" x14ac:dyDescent="0.7">
      <c r="A448" s="131"/>
      <c r="B448" s="132" t="s">
        <v>403</v>
      </c>
      <c r="C448" s="132"/>
      <c r="D448" s="132"/>
      <c r="E448" s="132"/>
      <c r="F448" s="132"/>
      <c r="G448" s="132"/>
      <c r="H448" s="150"/>
      <c r="I448" s="321">
        <f>D262</f>
        <v>19546</v>
      </c>
      <c r="J448" s="321"/>
      <c r="K448" s="132"/>
      <c r="L448" s="132"/>
      <c r="M448" s="133"/>
      <c r="N448" s="133"/>
      <c r="O448" s="151"/>
      <c r="P448" s="133"/>
      <c r="Q448" s="133"/>
    </row>
    <row r="449" spans="1:17" s="135" customFormat="1" ht="33.75" hidden="1" x14ac:dyDescent="0.7">
      <c r="A449" s="131"/>
      <c r="B449" s="132" t="s">
        <v>404</v>
      </c>
      <c r="C449" s="132"/>
      <c r="D449" s="152"/>
      <c r="E449" s="152"/>
      <c r="F449" s="152"/>
      <c r="G449" s="152"/>
      <c r="H449" s="150"/>
      <c r="I449" s="321">
        <f>K266+K263+K264+K265</f>
        <v>18070</v>
      </c>
      <c r="J449" s="321"/>
      <c r="K449" s="132"/>
      <c r="L449" s="132"/>
      <c r="M449" s="133"/>
      <c r="N449" s="133"/>
      <c r="O449" s="151"/>
      <c r="P449" s="133"/>
      <c r="Q449" s="133"/>
    </row>
    <row r="450" spans="1:17" s="135" customFormat="1" ht="33.75" hidden="1" x14ac:dyDescent="0.7">
      <c r="A450" s="131"/>
      <c r="B450" s="132" t="s">
        <v>405</v>
      </c>
      <c r="C450" s="132"/>
      <c r="D450" s="132"/>
      <c r="E450" s="132"/>
      <c r="F450" s="132"/>
      <c r="G450" s="132"/>
      <c r="H450" s="150"/>
      <c r="I450" s="321">
        <f>D263</f>
        <v>1020.8356807511736</v>
      </c>
      <c r="J450" s="321"/>
      <c r="K450" s="132"/>
      <c r="L450" s="132"/>
      <c r="M450" s="133"/>
      <c r="N450" s="133"/>
      <c r="O450" s="151"/>
      <c r="P450" s="133"/>
      <c r="Q450" s="133"/>
    </row>
    <row r="451" spans="1:17" s="135" customFormat="1" ht="33.75" hidden="1" x14ac:dyDescent="0.7">
      <c r="A451" s="131"/>
      <c r="B451" s="132" t="s">
        <v>406</v>
      </c>
      <c r="C451" s="132"/>
      <c r="D451" s="132"/>
      <c r="E451" s="132"/>
      <c r="F451" s="132"/>
      <c r="G451" s="132"/>
      <c r="H451" s="153"/>
      <c r="I451" s="321">
        <f>I449-I450</f>
        <v>17049.164319248826</v>
      </c>
      <c r="J451" s="321"/>
      <c r="K451" s="132"/>
      <c r="L451" s="132"/>
      <c r="M451" s="133"/>
      <c r="N451" s="133"/>
      <c r="O451" s="151"/>
      <c r="P451" s="133"/>
      <c r="Q451" s="133"/>
    </row>
    <row r="452" spans="1:17" s="135" customFormat="1" ht="31.5" hidden="1" x14ac:dyDescent="0.55000000000000004">
      <c r="A452" s="131"/>
      <c r="B452" s="132" t="s">
        <v>407</v>
      </c>
      <c r="C452" s="132"/>
      <c r="D452" s="132"/>
      <c r="E452" s="132"/>
      <c r="F452" s="132"/>
      <c r="G452" s="132"/>
      <c r="H452" s="153"/>
      <c r="I452" s="132"/>
      <c r="J452" s="154">
        <f>IF(ABS(O268)&lt;=I448*0.01,0.01,0)</f>
        <v>0</v>
      </c>
      <c r="K452" s="132"/>
      <c r="L452" s="132"/>
      <c r="M452" s="133"/>
      <c r="N452" s="133"/>
      <c r="O452" s="151"/>
      <c r="P452" s="133"/>
      <c r="Q452" s="133"/>
    </row>
    <row r="453" spans="1:17" s="135" customFormat="1" ht="31.5" hidden="1" x14ac:dyDescent="0.55000000000000004">
      <c r="A453" s="131"/>
      <c r="B453" s="132" t="s">
        <v>408</v>
      </c>
      <c r="C453" s="132"/>
      <c r="D453" s="132"/>
      <c r="E453" s="132"/>
      <c r="F453" s="132"/>
      <c r="G453" s="132"/>
      <c r="H453" s="132"/>
      <c r="I453" s="132"/>
      <c r="J453" s="155">
        <v>0.1</v>
      </c>
      <c r="K453" s="133"/>
      <c r="L453" s="156" t="s">
        <v>409</v>
      </c>
      <c r="M453" s="322">
        <v>0</v>
      </c>
      <c r="N453" s="322"/>
      <c r="O453" s="151"/>
      <c r="P453" s="133"/>
      <c r="Q453" s="133"/>
    </row>
    <row r="454" spans="1:17" s="135" customFormat="1" ht="33.75" hidden="1" x14ac:dyDescent="0.7">
      <c r="A454" s="131"/>
      <c r="B454" s="132" t="s">
        <v>410</v>
      </c>
      <c r="C454" s="132"/>
      <c r="D454" s="132"/>
      <c r="E454" s="132"/>
      <c r="F454" s="132"/>
      <c r="G454" s="132"/>
      <c r="H454" s="132"/>
      <c r="I454" s="323">
        <f>I451*J453</f>
        <v>1704.9164319248828</v>
      </c>
      <c r="J454" s="323"/>
      <c r="K454" s="133"/>
      <c r="L454" s="133"/>
      <c r="M454" s="133"/>
      <c r="N454" s="133"/>
      <c r="O454" s="151"/>
      <c r="P454" s="133"/>
      <c r="Q454" s="133"/>
    </row>
    <row r="455" spans="1:17" s="135" customFormat="1" ht="33.75" hidden="1" x14ac:dyDescent="0.7">
      <c r="A455" s="131"/>
      <c r="B455" s="157" t="s">
        <v>411</v>
      </c>
      <c r="C455" s="157"/>
      <c r="D455" s="157"/>
      <c r="E455" s="157"/>
      <c r="F455" s="157"/>
      <c r="G455" s="157"/>
      <c r="H455" s="132"/>
      <c r="I455" s="336">
        <f>K267</f>
        <v>1476</v>
      </c>
      <c r="J455" s="336"/>
      <c r="K455" s="132"/>
      <c r="L455" s="133"/>
      <c r="M455" s="133"/>
      <c r="N455" s="133"/>
      <c r="O455" s="151"/>
      <c r="P455" s="133"/>
      <c r="Q455" s="133"/>
    </row>
    <row r="456" spans="1:17" s="135" customFormat="1" ht="33.75" hidden="1" x14ac:dyDescent="0.7">
      <c r="A456" s="131"/>
      <c r="B456" s="132" t="s">
        <v>405</v>
      </c>
      <c r="C456" s="132"/>
      <c r="D456" s="158"/>
      <c r="E456" s="158"/>
      <c r="F456" s="158"/>
      <c r="G456" s="158"/>
      <c r="H456" s="158"/>
      <c r="I456" s="321">
        <f>D266</f>
        <v>90.084507042253563</v>
      </c>
      <c r="J456" s="321"/>
      <c r="K456" s="132"/>
      <c r="L456" s="133"/>
      <c r="M456" s="133"/>
      <c r="N456" s="133"/>
      <c r="O456" s="151"/>
      <c r="P456" s="133"/>
      <c r="Q456" s="133"/>
    </row>
    <row r="457" spans="1:17" s="135" customFormat="1" ht="31.5" hidden="1" x14ac:dyDescent="0.55000000000000004">
      <c r="A457" s="131"/>
      <c r="B457" s="132" t="s">
        <v>412</v>
      </c>
      <c r="C457" s="132"/>
      <c r="D457" s="132"/>
      <c r="E457" s="132"/>
      <c r="F457" s="132"/>
      <c r="G457" s="132"/>
      <c r="H457" s="132"/>
      <c r="I457" s="337">
        <f>I455-I456</f>
        <v>1385.9154929577464</v>
      </c>
      <c r="J457" s="337"/>
      <c r="K457" s="132"/>
      <c r="L457" s="133"/>
      <c r="M457" s="133"/>
      <c r="N457" s="133"/>
      <c r="O457" s="151"/>
      <c r="P457" s="133"/>
      <c r="Q457" s="133"/>
    </row>
    <row r="458" spans="1:17" s="135" customFormat="1" ht="31.5" hidden="1" x14ac:dyDescent="0.55000000000000004">
      <c r="A458" s="131"/>
      <c r="B458" s="132" t="s">
        <v>407</v>
      </c>
      <c r="C458" s="132"/>
      <c r="D458" s="132"/>
      <c r="E458" s="132"/>
      <c r="F458" s="132"/>
      <c r="G458" s="132"/>
      <c r="H458" s="153"/>
      <c r="I458" s="132"/>
      <c r="J458" s="154">
        <f>IF(ABS(O268)&lt;=I448*0.01,0.01,0)</f>
        <v>0</v>
      </c>
      <c r="K458" s="132"/>
      <c r="L458" s="133"/>
      <c r="M458" s="133"/>
      <c r="N458" s="133"/>
      <c r="O458" s="151"/>
      <c r="P458" s="133"/>
      <c r="Q458" s="133"/>
    </row>
    <row r="459" spans="1:17" s="135" customFormat="1" ht="31.5" hidden="1" x14ac:dyDescent="0.55000000000000004">
      <c r="A459" s="131"/>
      <c r="B459" s="132" t="s">
        <v>413</v>
      </c>
      <c r="C459" s="132"/>
      <c r="D459" s="132"/>
      <c r="E459" s="132"/>
      <c r="F459" s="132"/>
      <c r="G459" s="132"/>
      <c r="H459" s="132"/>
      <c r="I459" s="132"/>
      <c r="J459" s="155">
        <v>0.1</v>
      </c>
      <c r="K459" s="132"/>
      <c r="L459" s="133"/>
      <c r="M459" s="133"/>
      <c r="N459" s="133"/>
      <c r="O459" s="151"/>
      <c r="P459" s="133"/>
      <c r="Q459" s="133"/>
    </row>
    <row r="460" spans="1:17" s="135" customFormat="1" ht="31.5" hidden="1" x14ac:dyDescent="0.55000000000000004">
      <c r="A460" s="131"/>
      <c r="B460" s="132" t="s">
        <v>414</v>
      </c>
      <c r="C460" s="132"/>
      <c r="D460" s="132"/>
      <c r="E460" s="132"/>
      <c r="F460" s="132"/>
      <c r="G460" s="132"/>
      <c r="H460" s="132"/>
      <c r="I460" s="337">
        <f>I457*J459</f>
        <v>138.59154929577466</v>
      </c>
      <c r="J460" s="337"/>
      <c r="K460" s="132"/>
      <c r="L460" s="133"/>
      <c r="M460" s="133"/>
      <c r="N460" s="133"/>
      <c r="O460" s="151"/>
      <c r="P460" s="133"/>
      <c r="Q460" s="133"/>
    </row>
    <row r="461" spans="1:17" s="135" customFormat="1" ht="31.5" hidden="1" x14ac:dyDescent="0.55000000000000004">
      <c r="A461" s="131"/>
      <c r="B461" s="132" t="s">
        <v>415</v>
      </c>
      <c r="C461" s="132"/>
      <c r="D461" s="132"/>
      <c r="E461" s="132"/>
      <c r="F461" s="132"/>
      <c r="G461" s="132"/>
      <c r="H461" s="132"/>
      <c r="I461" s="337">
        <f>I454+I460</f>
        <v>1843.5079812206575</v>
      </c>
      <c r="J461" s="337"/>
      <c r="K461" s="132"/>
      <c r="L461" s="133"/>
      <c r="M461" s="133"/>
      <c r="N461" s="133"/>
      <c r="O461" s="151"/>
      <c r="P461" s="133"/>
      <c r="Q461" s="133"/>
    </row>
    <row r="462" spans="1:17" s="135" customFormat="1" ht="33.75" hidden="1" x14ac:dyDescent="0.7">
      <c r="A462" s="131"/>
      <c r="B462" s="158" t="s">
        <v>416</v>
      </c>
      <c r="C462" s="158"/>
      <c r="D462" s="158"/>
      <c r="E462" s="158"/>
      <c r="F462" s="158"/>
      <c r="G462" s="158"/>
      <c r="H462" s="158"/>
      <c r="I462" s="329">
        <f>IF(O268&lt;0,SUM(O268),0)</f>
        <v>0</v>
      </c>
      <c r="J462" s="329"/>
      <c r="K462" s="132"/>
      <c r="L462" s="133"/>
      <c r="M462" s="133"/>
      <c r="N462" s="133"/>
      <c r="O462" s="151"/>
      <c r="P462" s="133"/>
      <c r="Q462" s="133"/>
    </row>
    <row r="463" spans="1:17" s="135" customFormat="1" ht="33.75" hidden="1" x14ac:dyDescent="0.7">
      <c r="A463" s="131"/>
      <c r="B463" s="134" t="s">
        <v>417</v>
      </c>
      <c r="C463" s="158"/>
      <c r="D463" s="158"/>
      <c r="E463" s="158"/>
      <c r="F463" s="158"/>
      <c r="G463" s="158"/>
      <c r="H463" s="158"/>
      <c r="I463" s="329">
        <v>0</v>
      </c>
      <c r="J463" s="329"/>
      <c r="K463" s="132"/>
      <c r="L463" s="133"/>
      <c r="M463" s="133"/>
      <c r="N463" s="133"/>
      <c r="O463" s="151"/>
      <c r="P463" s="133"/>
      <c r="Q463" s="133"/>
    </row>
    <row r="464" spans="1:17" s="135" customFormat="1" ht="33.75" hidden="1" x14ac:dyDescent="0.7">
      <c r="A464" s="131"/>
      <c r="B464" s="134"/>
      <c r="C464" s="158"/>
      <c r="D464" s="158"/>
      <c r="E464" s="158"/>
      <c r="F464" s="158"/>
      <c r="G464" s="158"/>
      <c r="H464" s="158"/>
      <c r="I464" s="159"/>
      <c r="J464" s="159"/>
      <c r="K464" s="132"/>
      <c r="L464" s="133"/>
      <c r="M464" s="133"/>
      <c r="N464" s="133"/>
      <c r="O464" s="151"/>
      <c r="P464" s="133"/>
      <c r="Q464" s="133"/>
    </row>
    <row r="465" spans="1:17" s="135" customFormat="1" ht="38.25" hidden="1" x14ac:dyDescent="0.7">
      <c r="A465" s="131"/>
      <c r="B465" s="160" t="s">
        <v>418</v>
      </c>
      <c r="C465" s="161"/>
      <c r="D465" s="161"/>
      <c r="E465" s="161"/>
      <c r="F465" s="161"/>
      <c r="G465" s="161"/>
      <c r="H465" s="161"/>
      <c r="I465" s="330">
        <f>IF(I461&gt;M453,SUM(I461+I462),SUM(M453+I462))+I463</f>
        <v>1843.5079812206575</v>
      </c>
      <c r="J465" s="331"/>
      <c r="K465" s="132"/>
      <c r="L465" s="133"/>
      <c r="M465" s="133"/>
      <c r="N465" s="133"/>
      <c r="O465" s="151"/>
      <c r="P465" s="133"/>
      <c r="Q465" s="133"/>
    </row>
    <row r="466" spans="1:17" s="135" customFormat="1" ht="33.75" hidden="1" x14ac:dyDescent="0.7">
      <c r="A466" s="131"/>
      <c r="B466" s="134"/>
      <c r="C466" s="158"/>
      <c r="D466" s="158"/>
      <c r="E466" s="158"/>
      <c r="F466" s="158"/>
      <c r="G466" s="158"/>
      <c r="H466" s="158"/>
      <c r="I466" s="159"/>
      <c r="J466" s="159"/>
      <c r="K466" s="132"/>
      <c r="L466" s="133"/>
      <c r="M466" s="133"/>
      <c r="N466" s="133"/>
      <c r="O466" s="151"/>
      <c r="P466" s="133"/>
      <c r="Q466" s="133"/>
    </row>
    <row r="467" spans="1:17" s="135" customFormat="1" ht="33.75" hidden="1" x14ac:dyDescent="0.7">
      <c r="A467" s="131"/>
      <c r="B467" s="158" t="s">
        <v>419</v>
      </c>
      <c r="C467" s="158"/>
      <c r="D467" s="158"/>
      <c r="E467" s="158"/>
      <c r="F467" s="158"/>
      <c r="G467" s="158"/>
      <c r="H467" s="158"/>
      <c r="I467" s="329">
        <v>0</v>
      </c>
      <c r="J467" s="329"/>
      <c r="K467" s="132"/>
      <c r="L467" s="162"/>
      <c r="M467" s="162"/>
      <c r="N467" s="133"/>
      <c r="O467" s="151"/>
      <c r="P467" s="133"/>
      <c r="Q467" s="133"/>
    </row>
    <row r="468" spans="1:17" s="135" customFormat="1" ht="33.75" hidden="1" x14ac:dyDescent="0.7">
      <c r="A468" s="131"/>
      <c r="B468" s="158" t="s">
        <v>420</v>
      </c>
      <c r="C468" s="158"/>
      <c r="D468" s="158"/>
      <c r="E468" s="158"/>
      <c r="F468" s="158"/>
      <c r="G468" s="158"/>
      <c r="H468" s="158"/>
      <c r="I468" s="329">
        <f>D611</f>
        <v>0</v>
      </c>
      <c r="J468" s="329"/>
      <c r="K468" s="132"/>
      <c r="L468" s="133"/>
      <c r="M468" s="133"/>
      <c r="N468" s="133"/>
      <c r="O468" s="151"/>
      <c r="P468" s="133"/>
      <c r="Q468" s="133"/>
    </row>
    <row r="469" spans="1:17" s="135" customFormat="1" ht="33.75" hidden="1" x14ac:dyDescent="0.7">
      <c r="A469" s="131"/>
      <c r="B469" s="134"/>
      <c r="C469" s="158"/>
      <c r="D469" s="158"/>
      <c r="E469" s="158"/>
      <c r="F469" s="158"/>
      <c r="G469" s="158"/>
      <c r="H469" s="158"/>
      <c r="I469" s="159"/>
      <c r="J469" s="159"/>
      <c r="K469" s="132"/>
      <c r="L469" s="133"/>
      <c r="M469" s="133"/>
      <c r="N469" s="133"/>
      <c r="O469" s="151"/>
      <c r="P469" s="133"/>
      <c r="Q469" s="133"/>
    </row>
    <row r="470" spans="1:17" s="135" customFormat="1" ht="32.25" hidden="1" thickBot="1" x14ac:dyDescent="0.6">
      <c r="A470" s="131"/>
      <c r="B470" s="163" t="s">
        <v>421</v>
      </c>
      <c r="C470" s="164"/>
      <c r="D470" s="164"/>
      <c r="E470" s="164"/>
      <c r="F470" s="165"/>
      <c r="G470" s="165"/>
      <c r="H470" s="166"/>
      <c r="I470" s="332">
        <f>SUM(I465:J468)</f>
        <v>1843.5079812206575</v>
      </c>
      <c r="J470" s="333"/>
      <c r="K470" s="132"/>
      <c r="L470" s="133"/>
      <c r="M470" s="133"/>
      <c r="N470" s="133"/>
      <c r="O470" s="151"/>
      <c r="P470" s="133"/>
      <c r="Q470" s="133"/>
    </row>
    <row r="471" spans="1:17" s="135" customFormat="1" ht="33.75" hidden="1" x14ac:dyDescent="0.7">
      <c r="A471" s="131"/>
      <c r="B471" s="134"/>
      <c r="C471" s="158"/>
      <c r="D471" s="158"/>
      <c r="E471" s="158"/>
      <c r="F471" s="159"/>
      <c r="G471" s="159"/>
      <c r="H471" s="132"/>
      <c r="I471" s="133"/>
      <c r="J471" s="133"/>
      <c r="K471" s="133"/>
      <c r="L471" s="133"/>
      <c r="M471" s="133"/>
      <c r="N471" s="133"/>
      <c r="O471" s="151"/>
      <c r="P471" s="133"/>
      <c r="Q471" s="133"/>
    </row>
    <row r="472" spans="1:17" s="135" customFormat="1" ht="33.75" hidden="1" x14ac:dyDescent="0.7">
      <c r="A472" s="131"/>
      <c r="B472" s="167" t="s">
        <v>422</v>
      </c>
      <c r="C472" s="168" t="s">
        <v>423</v>
      </c>
      <c r="D472" s="169"/>
      <c r="E472" s="170"/>
      <c r="F472" s="170"/>
      <c r="G472" s="170"/>
      <c r="H472" s="171"/>
      <c r="I472" s="171"/>
      <c r="J472" s="170"/>
      <c r="K472" s="172" t="s">
        <v>424</v>
      </c>
      <c r="L472" s="133"/>
      <c r="M472" s="133"/>
      <c r="N472" s="133"/>
      <c r="O472" s="151"/>
      <c r="P472" s="133"/>
      <c r="Q472" s="133"/>
    </row>
    <row r="473" spans="1:17" s="135" customFormat="1" ht="33.75" hidden="1" x14ac:dyDescent="0.7">
      <c r="A473" s="131"/>
      <c r="B473" s="173"/>
      <c r="C473" s="174"/>
      <c r="D473" s="158"/>
      <c r="E473" s="159"/>
      <c r="F473" s="159"/>
      <c r="G473" s="159"/>
      <c r="H473" s="133"/>
      <c r="I473" s="133"/>
      <c r="J473" s="159"/>
      <c r="K473" s="175"/>
      <c r="L473" s="133"/>
      <c r="M473" s="133"/>
      <c r="N473" s="133"/>
      <c r="O473" s="151"/>
      <c r="P473" s="133"/>
      <c r="Q473" s="133"/>
    </row>
    <row r="474" spans="1:17" s="135" customFormat="1" ht="33.75" hidden="1" x14ac:dyDescent="0.7">
      <c r="A474" s="131"/>
      <c r="B474" s="173" t="s">
        <v>425</v>
      </c>
      <c r="C474" s="133"/>
      <c r="D474" s="174" t="s">
        <v>426</v>
      </c>
      <c r="E474" s="159"/>
      <c r="F474" s="159"/>
      <c r="G474" s="159"/>
      <c r="H474" s="133"/>
      <c r="I474" s="133"/>
      <c r="J474" s="334">
        <v>0</v>
      </c>
      <c r="K474" s="335"/>
      <c r="L474" s="133" t="s">
        <v>427</v>
      </c>
      <c r="M474" s="176"/>
      <c r="N474" s="176"/>
      <c r="O474" s="177"/>
      <c r="P474" s="133"/>
      <c r="Q474" s="133"/>
    </row>
    <row r="475" spans="1:17" s="135" customFormat="1" ht="33.75" hidden="1" x14ac:dyDescent="0.7">
      <c r="A475" s="131"/>
      <c r="B475" s="173"/>
      <c r="C475" s="133"/>
      <c r="D475" s="174"/>
      <c r="E475" s="159"/>
      <c r="F475" s="159"/>
      <c r="G475" s="159"/>
      <c r="H475" s="133"/>
      <c r="I475" s="133"/>
      <c r="J475" s="159"/>
      <c r="K475" s="175"/>
      <c r="L475" s="133"/>
      <c r="M475" s="133"/>
      <c r="N475" s="133"/>
      <c r="O475" s="151"/>
      <c r="P475" s="133"/>
      <c r="Q475" s="133"/>
    </row>
    <row r="476" spans="1:17" s="135" customFormat="1" ht="33.75" hidden="1" x14ac:dyDescent="0.7">
      <c r="A476" s="131"/>
      <c r="B476" s="173" t="s">
        <v>428</v>
      </c>
      <c r="C476" s="133"/>
      <c r="D476" s="174" t="s">
        <v>429</v>
      </c>
      <c r="E476" s="159"/>
      <c r="F476" s="159"/>
      <c r="G476" s="159"/>
      <c r="H476" s="133"/>
      <c r="I476" s="133"/>
      <c r="J476" s="337">
        <f>I465-J474</f>
        <v>1843.5079812206575</v>
      </c>
      <c r="K476" s="346"/>
      <c r="L476" s="133"/>
      <c r="M476" s="133"/>
      <c r="N476" s="133"/>
      <c r="O476" s="151"/>
      <c r="P476" s="133"/>
      <c r="Q476" s="133"/>
    </row>
    <row r="477" spans="1:17" s="135" customFormat="1" ht="33.75" hidden="1" x14ac:dyDescent="0.7">
      <c r="A477" s="131"/>
      <c r="B477" s="173"/>
      <c r="C477" s="174"/>
      <c r="D477" s="158"/>
      <c r="E477" s="159"/>
      <c r="F477" s="159"/>
      <c r="G477" s="159"/>
      <c r="H477" s="133"/>
      <c r="I477" s="133"/>
      <c r="J477" s="178"/>
      <c r="K477" s="179"/>
      <c r="L477" s="133"/>
      <c r="M477" s="133"/>
      <c r="N477" s="133"/>
      <c r="O477" s="151"/>
      <c r="P477" s="133"/>
      <c r="Q477" s="133"/>
    </row>
    <row r="478" spans="1:17" s="135" customFormat="1" ht="33.75" hidden="1" x14ac:dyDescent="0.7">
      <c r="A478" s="131"/>
      <c r="B478" s="173" t="s">
        <v>430</v>
      </c>
      <c r="C478" s="174"/>
      <c r="D478" s="132" t="s">
        <v>431</v>
      </c>
      <c r="E478" s="180"/>
      <c r="F478" s="180"/>
      <c r="G478" s="180"/>
      <c r="H478" s="133"/>
      <c r="I478" s="133"/>
      <c r="J478" s="337">
        <f>I467</f>
        <v>0</v>
      </c>
      <c r="K478" s="346"/>
      <c r="L478" s="133"/>
      <c r="M478" s="133"/>
      <c r="N478" s="133"/>
      <c r="O478" s="151"/>
      <c r="P478" s="133"/>
      <c r="Q478" s="133"/>
    </row>
    <row r="479" spans="1:17" s="135" customFormat="1" ht="33.75" hidden="1" x14ac:dyDescent="0.7">
      <c r="A479" s="131"/>
      <c r="B479" s="173"/>
      <c r="C479" s="174"/>
      <c r="D479" s="132"/>
      <c r="E479" s="180"/>
      <c r="F479" s="180"/>
      <c r="G479" s="180"/>
      <c r="H479" s="133"/>
      <c r="I479" s="133"/>
      <c r="J479" s="178"/>
      <c r="K479" s="179"/>
      <c r="L479" s="133"/>
      <c r="M479" s="133"/>
      <c r="N479" s="133"/>
      <c r="O479" s="151"/>
      <c r="P479" s="133"/>
      <c r="Q479" s="133"/>
    </row>
    <row r="480" spans="1:17" s="135" customFormat="1" ht="33.75" hidden="1" x14ac:dyDescent="0.7">
      <c r="A480" s="131"/>
      <c r="B480" s="173" t="s">
        <v>432</v>
      </c>
      <c r="C480" s="174"/>
      <c r="D480" s="132"/>
      <c r="E480" s="180"/>
      <c r="F480" s="180"/>
      <c r="G480" s="180"/>
      <c r="H480" s="133"/>
      <c r="I480" s="133"/>
      <c r="J480" s="337">
        <f>I468</f>
        <v>0</v>
      </c>
      <c r="K480" s="346"/>
      <c r="L480" s="133"/>
      <c r="M480" s="133"/>
      <c r="N480" s="133"/>
      <c r="O480" s="151"/>
      <c r="P480" s="133"/>
      <c r="Q480" s="133"/>
    </row>
    <row r="481" spans="1:18" s="135" customFormat="1" ht="34.5" hidden="1" thickBot="1" x14ac:dyDescent="0.75">
      <c r="A481" s="131"/>
      <c r="B481" s="181"/>
      <c r="C481" s="182"/>
      <c r="D481" s="182"/>
      <c r="E481" s="183"/>
      <c r="F481" s="183"/>
      <c r="G481" s="183"/>
      <c r="H481" s="184"/>
      <c r="I481" s="184"/>
      <c r="J481" s="183"/>
      <c r="K481" s="185"/>
      <c r="L481" s="133"/>
      <c r="M481" s="133"/>
      <c r="N481" s="133"/>
      <c r="O481" s="151"/>
      <c r="P481" s="133"/>
      <c r="Q481" s="133"/>
    </row>
    <row r="482" spans="1:18" s="135" customFormat="1" ht="34.5" hidden="1" thickBot="1" x14ac:dyDescent="0.75">
      <c r="A482" s="131"/>
      <c r="B482" s="186" t="s">
        <v>433</v>
      </c>
      <c r="C482" s="187"/>
      <c r="D482" s="164"/>
      <c r="E482" s="188"/>
      <c r="F482" s="188"/>
      <c r="G482" s="188"/>
      <c r="H482" s="188"/>
      <c r="I482" s="189"/>
      <c r="J482" s="347">
        <f>SUM(J474:K480)</f>
        <v>1843.5079812206575</v>
      </c>
      <c r="K482" s="348"/>
      <c r="L482" s="133"/>
      <c r="M482" s="133"/>
      <c r="N482" s="133"/>
      <c r="O482" s="151"/>
      <c r="P482" s="133"/>
      <c r="Q482" s="133"/>
      <c r="R482" s="133"/>
    </row>
    <row r="483" spans="1:18" s="135" customFormat="1" ht="32.25" hidden="1" customHeight="1" x14ac:dyDescent="0.55000000000000004">
      <c r="A483" s="131"/>
      <c r="B483" s="133"/>
      <c r="C483" s="133"/>
      <c r="D483" s="133"/>
      <c r="E483" s="133"/>
      <c r="F483" s="133"/>
      <c r="G483" s="132"/>
      <c r="H483" s="132"/>
      <c r="I483" s="133"/>
      <c r="J483" s="133"/>
      <c r="K483" s="190"/>
      <c r="L483" s="133"/>
      <c r="M483" s="133"/>
      <c r="N483" s="133"/>
      <c r="O483" s="151"/>
      <c r="P483" s="133"/>
      <c r="Q483" s="133"/>
    </row>
    <row r="484" spans="1:18" s="194" customFormat="1" ht="33.75" hidden="1" customHeight="1" x14ac:dyDescent="0.65">
      <c r="A484" s="191"/>
      <c r="B484" s="132"/>
      <c r="C484" s="132"/>
      <c r="D484" s="132"/>
      <c r="E484" s="132"/>
      <c r="F484" s="133"/>
      <c r="G484" s="133"/>
      <c r="H484" s="133"/>
      <c r="I484" s="133"/>
      <c r="J484" s="133"/>
      <c r="K484" s="190"/>
      <c r="L484" s="192"/>
      <c r="M484" s="192"/>
      <c r="N484" s="192"/>
      <c r="O484" s="193"/>
      <c r="P484" s="192"/>
      <c r="Q484" s="192"/>
    </row>
    <row r="485" spans="1:18" s="135" customFormat="1" ht="25.5" hidden="1" customHeight="1" x14ac:dyDescent="0.55000000000000004">
      <c r="A485" s="131"/>
      <c r="B485" s="195" t="s">
        <v>434</v>
      </c>
      <c r="C485" s="195"/>
      <c r="D485" s="196"/>
      <c r="E485" s="196"/>
      <c r="F485" s="195"/>
      <c r="G485" s="195"/>
      <c r="H485" s="195"/>
      <c r="I485" s="195"/>
      <c r="J485" s="195"/>
      <c r="K485" s="197"/>
      <c r="L485" s="133"/>
      <c r="M485" s="133"/>
      <c r="N485" s="133"/>
      <c r="O485" s="151"/>
      <c r="P485" s="133"/>
      <c r="Q485" s="133"/>
    </row>
    <row r="486" spans="1:18" s="135" customFormat="1" ht="25.5" hidden="1" customHeight="1" x14ac:dyDescent="0.55000000000000004">
      <c r="A486" s="131"/>
      <c r="B486" s="132"/>
      <c r="C486" s="132"/>
      <c r="D486" s="132"/>
      <c r="E486" s="132"/>
      <c r="F486" s="132"/>
      <c r="G486" s="133"/>
      <c r="H486" s="132"/>
      <c r="I486" s="132"/>
      <c r="J486" s="132"/>
      <c r="K486" s="190"/>
      <c r="L486" s="133"/>
      <c r="M486" s="133"/>
      <c r="N486" s="133"/>
      <c r="O486" s="151"/>
      <c r="P486" s="133"/>
      <c r="Q486" s="133"/>
    </row>
    <row r="487" spans="1:18" s="135" customFormat="1" ht="25.5" hidden="1" customHeight="1" x14ac:dyDescent="0.55000000000000004">
      <c r="A487" s="131"/>
      <c r="B487" s="190"/>
      <c r="C487" s="190"/>
      <c r="D487" s="190"/>
      <c r="E487" s="190"/>
      <c r="F487" s="190"/>
      <c r="G487" s="190"/>
      <c r="H487" s="190"/>
      <c r="I487" s="190"/>
      <c r="J487" s="190"/>
      <c r="K487" s="190"/>
      <c r="L487" s="133"/>
      <c r="M487" s="133"/>
      <c r="N487" s="133"/>
      <c r="O487" s="151"/>
      <c r="P487" s="133"/>
      <c r="Q487" s="133"/>
    </row>
    <row r="488" spans="1:18" s="135" customFormat="1" ht="25.5" hidden="1" customHeight="1" x14ac:dyDescent="0.55000000000000004">
      <c r="A488" s="198"/>
      <c r="B488" s="197"/>
      <c r="C488" s="197"/>
      <c r="D488" s="197"/>
      <c r="E488" s="197"/>
      <c r="F488" s="197"/>
      <c r="G488" s="197"/>
      <c r="H488" s="197"/>
      <c r="I488" s="197"/>
      <c r="J488" s="197"/>
      <c r="K488" s="197"/>
      <c r="L488" s="196"/>
      <c r="M488" s="196"/>
      <c r="N488" s="196"/>
      <c r="O488" s="199"/>
      <c r="P488" s="133"/>
      <c r="Q488" s="133"/>
    </row>
    <row r="489" spans="1:18" hidden="1" x14ac:dyDescent="0.25">
      <c r="A489" s="88"/>
      <c r="B489" s="88"/>
      <c r="C489" s="88"/>
      <c r="D489" s="88"/>
      <c r="E489" s="88"/>
      <c r="F489" s="88"/>
      <c r="G489" s="88"/>
      <c r="H489" s="88"/>
      <c r="I489" s="19"/>
      <c r="J489" s="19"/>
      <c r="K489" s="19"/>
      <c r="L489" s="19"/>
      <c r="M489" s="19"/>
      <c r="N489" s="19"/>
      <c r="O489" s="19"/>
      <c r="P489" s="19"/>
      <c r="Q489" s="19"/>
    </row>
    <row r="490" spans="1:18" hidden="1" x14ac:dyDescent="0.25"/>
    <row r="491" spans="1:18" hidden="1" x14ac:dyDescent="0.25"/>
    <row r="492" spans="1:18" hidden="1" x14ac:dyDescent="0.25">
      <c r="A492" s="200" t="s">
        <v>435</v>
      </c>
      <c r="B492" s="201" t="s">
        <v>73</v>
      </c>
      <c r="C492" s="201" t="s">
        <v>436</v>
      </c>
      <c r="D492" s="201" t="s">
        <v>437</v>
      </c>
    </row>
    <row r="493" spans="1:18" hidden="1" x14ac:dyDescent="0.25">
      <c r="A493" s="61" t="str">
        <f t="shared" ref="A493:A524" si="30">A7</f>
        <v>BBQ CHICKEN SANDWICH</v>
      </c>
      <c r="B493" s="202">
        <f t="shared" ref="B493:B524" si="31">I7</f>
        <v>0</v>
      </c>
      <c r="C493" s="203">
        <v>4</v>
      </c>
      <c r="D493" s="203">
        <f>B493*C493</f>
        <v>0</v>
      </c>
    </row>
    <row r="494" spans="1:18" hidden="1" x14ac:dyDescent="0.25">
      <c r="A494" s="61" t="str">
        <f t="shared" si="30"/>
        <v>BBQ CHICKEN SANDWICH PLATTER</v>
      </c>
      <c r="B494" s="202">
        <f t="shared" si="31"/>
        <v>0</v>
      </c>
      <c r="C494" s="203">
        <v>5</v>
      </c>
      <c r="D494" s="203">
        <f t="shared" ref="D494:D557" si="32">B494*C494</f>
        <v>0</v>
      </c>
    </row>
    <row r="495" spans="1:18" hidden="1" x14ac:dyDescent="0.25">
      <c r="A495" s="61" t="str">
        <f t="shared" si="30"/>
        <v>BBQ PORK SANDWICH</v>
      </c>
      <c r="B495" s="202">
        <f t="shared" si="31"/>
        <v>0</v>
      </c>
      <c r="C495" s="203">
        <v>4</v>
      </c>
      <c r="D495" s="203">
        <f t="shared" si="32"/>
        <v>0</v>
      </c>
    </row>
    <row r="496" spans="1:18" hidden="1" x14ac:dyDescent="0.25">
      <c r="A496" s="61" t="str">
        <f t="shared" si="30"/>
        <v>BBQ PORK SANDWICH PLATTER</v>
      </c>
      <c r="B496" s="202">
        <f t="shared" si="31"/>
        <v>0</v>
      </c>
      <c r="C496" s="203">
        <v>5</v>
      </c>
      <c r="D496" s="203">
        <f t="shared" si="32"/>
        <v>0</v>
      </c>
    </row>
    <row r="497" spans="1:4" hidden="1" x14ac:dyDescent="0.25">
      <c r="A497" s="61" t="str">
        <f t="shared" si="30"/>
        <v>BOJ CAJUN CHICKEN SANDWICH</v>
      </c>
      <c r="B497" s="202">
        <f t="shared" si="31"/>
        <v>0</v>
      </c>
      <c r="C497" s="203">
        <v>0</v>
      </c>
      <c r="D497" s="203">
        <f t="shared" si="32"/>
        <v>0</v>
      </c>
    </row>
    <row r="498" spans="1:4" hidden="1" x14ac:dyDescent="0.25">
      <c r="A498" s="61" t="str">
        <f t="shared" si="30"/>
        <v>BOJ CAJUN CHICKEN SANDWICH</v>
      </c>
      <c r="B498" s="202">
        <f t="shared" si="31"/>
        <v>0</v>
      </c>
      <c r="C498" s="203">
        <v>2.5</v>
      </c>
      <c r="D498" s="203">
        <f t="shared" si="32"/>
        <v>0</v>
      </c>
    </row>
    <row r="499" spans="1:4" hidden="1" x14ac:dyDescent="0.25">
      <c r="A499" s="61" t="str">
        <f t="shared" si="30"/>
        <v>BOJ CHICKEN SUPREMES</v>
      </c>
      <c r="B499" s="202">
        <f t="shared" si="31"/>
        <v>0</v>
      </c>
      <c r="C499" s="203">
        <v>3.5</v>
      </c>
      <c r="D499" s="203">
        <f t="shared" si="32"/>
        <v>0</v>
      </c>
    </row>
    <row r="500" spans="1:4" hidden="1" x14ac:dyDescent="0.25">
      <c r="A500" s="61" t="str">
        <f t="shared" si="30"/>
        <v>BOJ SEASONED FRIES</v>
      </c>
      <c r="B500" s="202">
        <f t="shared" si="31"/>
        <v>0</v>
      </c>
      <c r="C500" s="203">
        <v>2</v>
      </c>
      <c r="D500" s="203">
        <f t="shared" si="32"/>
        <v>0</v>
      </c>
    </row>
    <row r="501" spans="1:4" hidden="1" x14ac:dyDescent="0.25">
      <c r="A501" s="61" t="str">
        <f t="shared" si="30"/>
        <v>BREAKFAST SANDWICH</v>
      </c>
      <c r="B501" s="202">
        <f t="shared" si="31"/>
        <v>0</v>
      </c>
      <c r="C501" s="203">
        <v>2.5</v>
      </c>
      <c r="D501" s="203">
        <f t="shared" si="32"/>
        <v>0</v>
      </c>
    </row>
    <row r="502" spans="1:4" hidden="1" x14ac:dyDescent="0.25">
      <c r="A502" s="61" t="str">
        <f t="shared" si="30"/>
        <v>CARVED PRIME RIB SANDWICH</v>
      </c>
      <c r="B502" s="202">
        <f t="shared" si="31"/>
        <v>0</v>
      </c>
      <c r="C502" s="203">
        <v>6.5</v>
      </c>
      <c r="D502" s="203">
        <f t="shared" si="32"/>
        <v>0</v>
      </c>
    </row>
    <row r="503" spans="1:4" hidden="1" x14ac:dyDescent="0.25">
      <c r="A503" s="61" t="str">
        <f t="shared" si="30"/>
        <v>CARVED TURKEY SANDWICH</v>
      </c>
      <c r="B503" s="202">
        <f t="shared" si="31"/>
        <v>0</v>
      </c>
      <c r="C503" s="203">
        <v>6.5</v>
      </c>
      <c r="D503" s="203">
        <f t="shared" si="32"/>
        <v>0</v>
      </c>
    </row>
    <row r="504" spans="1:4" hidden="1" x14ac:dyDescent="0.25">
      <c r="A504" s="61" t="str">
        <f t="shared" si="30"/>
        <v>CHEESEBURGER, ALL AMERICAN</v>
      </c>
      <c r="B504" s="202">
        <f t="shared" si="31"/>
        <v>0</v>
      </c>
      <c r="C504" s="203">
        <v>1</v>
      </c>
      <c r="D504" s="203">
        <f t="shared" si="32"/>
        <v>0</v>
      </c>
    </row>
    <row r="505" spans="1:4" hidden="1" x14ac:dyDescent="0.25">
      <c r="A505" s="61" t="str">
        <f t="shared" si="30"/>
        <v>CHEESEBURGER, DOUBLE</v>
      </c>
      <c r="B505" s="202">
        <f t="shared" si="31"/>
        <v>0</v>
      </c>
      <c r="C505" s="203">
        <v>2</v>
      </c>
      <c r="D505" s="203">
        <f t="shared" si="32"/>
        <v>0</v>
      </c>
    </row>
    <row r="506" spans="1:4" hidden="1" x14ac:dyDescent="0.25">
      <c r="A506" s="61" t="str">
        <f t="shared" si="30"/>
        <v>CHEESEBURGER, JALAPENO BACON PEPPERJACK</v>
      </c>
      <c r="B506" s="202">
        <f t="shared" si="31"/>
        <v>0</v>
      </c>
      <c r="C506" s="203">
        <v>1</v>
      </c>
      <c r="D506" s="203">
        <f t="shared" si="32"/>
        <v>0</v>
      </c>
    </row>
    <row r="507" spans="1:4" hidden="1" x14ac:dyDescent="0.25">
      <c r="A507" s="61" t="str">
        <f t="shared" si="30"/>
        <v>CHEESEBURGER, PASTRAMI SWISS</v>
      </c>
      <c r="B507" s="202">
        <f t="shared" si="31"/>
        <v>0</v>
      </c>
      <c r="C507" s="203">
        <v>1</v>
      </c>
      <c r="D507" s="203">
        <f t="shared" si="32"/>
        <v>0</v>
      </c>
    </row>
    <row r="508" spans="1:4" hidden="1" x14ac:dyDescent="0.25">
      <c r="A508" s="61" t="str">
        <f t="shared" si="30"/>
        <v>CHEESEBURGER, SINGLE</v>
      </c>
      <c r="B508" s="202">
        <f t="shared" si="31"/>
        <v>0</v>
      </c>
      <c r="C508" s="203">
        <v>3</v>
      </c>
      <c r="D508" s="203">
        <f t="shared" si="32"/>
        <v>0</v>
      </c>
    </row>
    <row r="509" spans="1:4" hidden="1" x14ac:dyDescent="0.25">
      <c r="A509" s="61" t="str">
        <f t="shared" si="30"/>
        <v>CHEESESTEAK, CHICKEN</v>
      </c>
      <c r="B509" s="202">
        <f t="shared" si="31"/>
        <v>0</v>
      </c>
      <c r="C509" s="203">
        <v>2</v>
      </c>
      <c r="D509" s="203">
        <f t="shared" si="32"/>
        <v>0</v>
      </c>
    </row>
    <row r="510" spans="1:4" hidden="1" x14ac:dyDescent="0.25">
      <c r="A510" s="61" t="str">
        <f t="shared" si="30"/>
        <v>CHEESESTEAK, CHICKEN</v>
      </c>
      <c r="B510" s="202">
        <f t="shared" si="31"/>
        <v>0</v>
      </c>
      <c r="C510" s="203">
        <v>2.5</v>
      </c>
      <c r="D510" s="203">
        <f t="shared" si="32"/>
        <v>0</v>
      </c>
    </row>
    <row r="511" spans="1:4" hidden="1" x14ac:dyDescent="0.25">
      <c r="A511" s="61" t="str">
        <f t="shared" si="30"/>
        <v>CHEESESTEAK, CREATE YOUR OWN</v>
      </c>
      <c r="B511" s="202">
        <f t="shared" si="31"/>
        <v>0</v>
      </c>
      <c r="C511" s="203">
        <v>2</v>
      </c>
      <c r="D511" s="203">
        <f t="shared" si="32"/>
        <v>0</v>
      </c>
    </row>
    <row r="512" spans="1:4" hidden="1" x14ac:dyDescent="0.25">
      <c r="A512" s="61" t="str">
        <f t="shared" si="30"/>
        <v>CHEESESTEAK, CREATE YOUR OWN</v>
      </c>
      <c r="B512" s="202">
        <f t="shared" si="31"/>
        <v>0</v>
      </c>
      <c r="C512" s="203">
        <v>2.5</v>
      </c>
      <c r="D512" s="203">
        <f t="shared" si="32"/>
        <v>0</v>
      </c>
    </row>
    <row r="513" spans="1:4" hidden="1" x14ac:dyDescent="0.25">
      <c r="A513" s="61" t="str">
        <f t="shared" si="30"/>
        <v>CHEESESTEAK, PHILLY</v>
      </c>
      <c r="B513" s="202">
        <f t="shared" si="31"/>
        <v>0</v>
      </c>
      <c r="C513" s="203">
        <v>2</v>
      </c>
      <c r="D513" s="203">
        <f t="shared" si="32"/>
        <v>0</v>
      </c>
    </row>
    <row r="514" spans="1:4" hidden="1" x14ac:dyDescent="0.25">
      <c r="A514" s="61" t="str">
        <f t="shared" si="30"/>
        <v>CHEESESTEAK, PHILLY</v>
      </c>
      <c r="B514" s="202">
        <f t="shared" si="31"/>
        <v>0</v>
      </c>
      <c r="C514" s="203">
        <v>2.5</v>
      </c>
      <c r="D514" s="203">
        <f t="shared" si="32"/>
        <v>0</v>
      </c>
    </row>
    <row r="515" spans="1:4" hidden="1" x14ac:dyDescent="0.25">
      <c r="A515" s="61" t="str">
        <f t="shared" si="30"/>
        <v>CHEESESTEAK, TRADITIONAL</v>
      </c>
      <c r="B515" s="202">
        <f t="shared" si="31"/>
        <v>0</v>
      </c>
      <c r="C515" s="203">
        <v>2</v>
      </c>
      <c r="D515" s="203">
        <f t="shared" si="32"/>
        <v>0</v>
      </c>
    </row>
    <row r="516" spans="1:4" hidden="1" x14ac:dyDescent="0.25">
      <c r="A516" s="61" t="str">
        <f t="shared" si="30"/>
        <v>CHEESESTEAK, TRADITIONAL</v>
      </c>
      <c r="B516" s="202">
        <f t="shared" si="31"/>
        <v>0</v>
      </c>
      <c r="C516" s="203">
        <v>2.5</v>
      </c>
      <c r="D516" s="203">
        <f t="shared" si="32"/>
        <v>0</v>
      </c>
    </row>
    <row r="517" spans="1:4" hidden="1" x14ac:dyDescent="0.25">
      <c r="A517" s="61" t="str">
        <f t="shared" si="30"/>
        <v>CHEESESTEAK, VEGGIE</v>
      </c>
      <c r="B517" s="202">
        <f t="shared" si="31"/>
        <v>0</v>
      </c>
      <c r="C517" s="203">
        <v>2</v>
      </c>
      <c r="D517" s="203">
        <f t="shared" si="32"/>
        <v>0</v>
      </c>
    </row>
    <row r="518" spans="1:4" hidden="1" x14ac:dyDescent="0.25">
      <c r="A518" s="61" t="str">
        <f t="shared" si="30"/>
        <v>CHEESESTEAK, VEGGIE</v>
      </c>
      <c r="B518" s="202">
        <f t="shared" si="31"/>
        <v>0</v>
      </c>
      <c r="C518" s="203">
        <v>2.5</v>
      </c>
      <c r="D518" s="203">
        <f t="shared" si="32"/>
        <v>0</v>
      </c>
    </row>
    <row r="519" spans="1:4" hidden="1" x14ac:dyDescent="0.25">
      <c r="A519" s="61" t="str">
        <f t="shared" si="30"/>
        <v>CHICKEN TENTERS/WINGS/BONELESS (SAUCED)</v>
      </c>
      <c r="B519" s="202">
        <f t="shared" si="31"/>
        <v>0</v>
      </c>
      <c r="C519" s="203">
        <v>4</v>
      </c>
      <c r="D519" s="203">
        <f t="shared" si="32"/>
        <v>0</v>
      </c>
    </row>
    <row r="520" spans="1:4" hidden="1" x14ac:dyDescent="0.25">
      <c r="A520" s="61" t="str">
        <f t="shared" si="30"/>
        <v>CHICKEN, GRILLED SANDWICH</v>
      </c>
      <c r="B520" s="202">
        <f t="shared" si="31"/>
        <v>0</v>
      </c>
      <c r="C520" s="203">
        <v>3</v>
      </c>
      <c r="D520" s="203">
        <f t="shared" si="32"/>
        <v>0</v>
      </c>
    </row>
    <row r="521" spans="1:4" hidden="1" x14ac:dyDescent="0.25">
      <c r="A521" s="61" t="str">
        <f t="shared" si="30"/>
        <v>CHICKEN, TENDERS W/FRIES</v>
      </c>
      <c r="B521" s="202">
        <f t="shared" si="31"/>
        <v>0</v>
      </c>
      <c r="C521" s="203">
        <v>4</v>
      </c>
      <c r="D521" s="203">
        <f t="shared" si="32"/>
        <v>0</v>
      </c>
    </row>
    <row r="522" spans="1:4" hidden="1" x14ac:dyDescent="0.25">
      <c r="A522" s="61" t="str">
        <f t="shared" si="30"/>
        <v>FOOTLONG CORN DOG</v>
      </c>
      <c r="B522" s="202">
        <f t="shared" si="31"/>
        <v>0</v>
      </c>
      <c r="C522" s="203">
        <v>3</v>
      </c>
      <c r="D522" s="203">
        <f t="shared" si="32"/>
        <v>0</v>
      </c>
    </row>
    <row r="523" spans="1:4" hidden="1" x14ac:dyDescent="0.25">
      <c r="A523" s="61" t="str">
        <f t="shared" si="30"/>
        <v>FRIES, COMBO/VALUE</v>
      </c>
      <c r="B523" s="202">
        <f t="shared" si="31"/>
        <v>0</v>
      </c>
      <c r="C523" s="203">
        <v>1.5</v>
      </c>
      <c r="D523" s="203">
        <f t="shared" si="32"/>
        <v>0</v>
      </c>
    </row>
    <row r="524" spans="1:4" hidden="1" x14ac:dyDescent="0.25">
      <c r="A524" s="61" t="str">
        <f t="shared" si="30"/>
        <v>FRIES, JUMBO</v>
      </c>
      <c r="B524" s="202">
        <f t="shared" si="31"/>
        <v>0</v>
      </c>
      <c r="C524" s="203">
        <v>4</v>
      </c>
      <c r="D524" s="203">
        <f t="shared" si="32"/>
        <v>0</v>
      </c>
    </row>
    <row r="525" spans="1:4" hidden="1" x14ac:dyDescent="0.25">
      <c r="A525" s="61" t="str">
        <f t="shared" ref="A525:A556" si="33">A39</f>
        <v>FRIES, REGULAR</v>
      </c>
      <c r="B525" s="202">
        <f t="shared" ref="B525:B556" si="34">I39</f>
        <v>0</v>
      </c>
      <c r="C525" s="203">
        <v>2</v>
      </c>
      <c r="D525" s="203">
        <f t="shared" si="32"/>
        <v>0</v>
      </c>
    </row>
    <row r="526" spans="1:4" hidden="1" x14ac:dyDescent="0.25">
      <c r="A526" s="61" t="str">
        <f t="shared" si="33"/>
        <v>GRILLED CHEESE, CLASSIC</v>
      </c>
      <c r="B526" s="202">
        <f t="shared" si="34"/>
        <v>0</v>
      </c>
      <c r="C526" s="203">
        <v>1.5</v>
      </c>
      <c r="D526" s="203">
        <f t="shared" si="32"/>
        <v>0</v>
      </c>
    </row>
    <row r="527" spans="1:4" hidden="1" x14ac:dyDescent="0.25">
      <c r="A527" s="61" t="str">
        <f t="shared" si="33"/>
        <v>GRILLED CHEESE, CLASSIC</v>
      </c>
      <c r="B527" s="202">
        <f t="shared" si="34"/>
        <v>0</v>
      </c>
      <c r="C527" s="203">
        <v>1.5</v>
      </c>
      <c r="D527" s="203">
        <f t="shared" si="32"/>
        <v>0</v>
      </c>
    </row>
    <row r="528" spans="1:4" hidden="1" x14ac:dyDescent="0.25">
      <c r="A528" s="61" t="str">
        <f t="shared" si="33"/>
        <v>GRILLED CHEESE, FOUR CHEESE</v>
      </c>
      <c r="B528" s="202">
        <f t="shared" si="34"/>
        <v>0</v>
      </c>
      <c r="C528" s="203">
        <v>2</v>
      </c>
      <c r="D528" s="203">
        <f t="shared" si="32"/>
        <v>0</v>
      </c>
    </row>
    <row r="529" spans="1:4" hidden="1" x14ac:dyDescent="0.25">
      <c r="A529" s="61" t="str">
        <f t="shared" si="33"/>
        <v>GRILLED CHEESE, FOUR CHEESE</v>
      </c>
      <c r="B529" s="202">
        <f t="shared" si="34"/>
        <v>0</v>
      </c>
      <c r="C529" s="203">
        <v>2</v>
      </c>
      <c r="D529" s="203">
        <f t="shared" si="32"/>
        <v>0</v>
      </c>
    </row>
    <row r="530" spans="1:4" hidden="1" x14ac:dyDescent="0.25">
      <c r="A530" s="61" t="str">
        <f t="shared" si="33"/>
        <v>GRILLED CHEESE, TOMATO PESTO</v>
      </c>
      <c r="B530" s="202">
        <f t="shared" si="34"/>
        <v>0</v>
      </c>
      <c r="C530" s="203">
        <v>2</v>
      </c>
      <c r="D530" s="203">
        <f t="shared" si="32"/>
        <v>0</v>
      </c>
    </row>
    <row r="531" spans="1:4" hidden="1" x14ac:dyDescent="0.25">
      <c r="A531" s="61" t="str">
        <f t="shared" si="33"/>
        <v>GRILLED CHEESE, TOMATO PESTO</v>
      </c>
      <c r="B531" s="202">
        <f t="shared" si="34"/>
        <v>0</v>
      </c>
      <c r="C531" s="203">
        <v>2</v>
      </c>
      <c r="D531" s="203">
        <f t="shared" si="32"/>
        <v>0</v>
      </c>
    </row>
    <row r="532" spans="1:4" hidden="1" x14ac:dyDescent="0.25">
      <c r="A532" s="61" t="str">
        <f t="shared" si="33"/>
        <v>GRILLED CHEESE, TRIPLE DECKER</v>
      </c>
      <c r="B532" s="202">
        <f t="shared" si="34"/>
        <v>0</v>
      </c>
      <c r="C532" s="203">
        <v>3</v>
      </c>
      <c r="D532" s="203">
        <f t="shared" si="32"/>
        <v>0</v>
      </c>
    </row>
    <row r="533" spans="1:4" hidden="1" x14ac:dyDescent="0.25">
      <c r="A533" s="61" t="str">
        <f t="shared" si="33"/>
        <v>GRILLED CHEESE, TRIPLE DECKER</v>
      </c>
      <c r="B533" s="202">
        <f t="shared" si="34"/>
        <v>0</v>
      </c>
      <c r="C533" s="203">
        <v>3</v>
      </c>
      <c r="D533" s="203">
        <f t="shared" si="32"/>
        <v>0</v>
      </c>
    </row>
    <row r="534" spans="1:4" hidden="1" x14ac:dyDescent="0.25">
      <c r="A534" s="61" t="str">
        <f t="shared" si="33"/>
        <v>HOT DOG, 2/1 DAYTONA SPDWY/HALF LB.</v>
      </c>
      <c r="B534" s="202">
        <f t="shared" si="34"/>
        <v>0</v>
      </c>
      <c r="C534" s="203">
        <v>3.5</v>
      </c>
      <c r="D534" s="203">
        <f t="shared" si="32"/>
        <v>0</v>
      </c>
    </row>
    <row r="535" spans="1:4" hidden="1" x14ac:dyDescent="0.25">
      <c r="A535" s="61" t="str">
        <f t="shared" si="33"/>
        <v>HOT DOG, 2/1 SPECIALTY/FIRECRACKER</v>
      </c>
      <c r="B535" s="202">
        <f t="shared" si="34"/>
        <v>0</v>
      </c>
      <c r="C535" s="203">
        <v>1</v>
      </c>
      <c r="D535" s="203">
        <f t="shared" si="32"/>
        <v>0</v>
      </c>
    </row>
    <row r="536" spans="1:4" hidden="1" x14ac:dyDescent="0.25">
      <c r="A536" s="61" t="str">
        <f t="shared" si="33"/>
        <v>HOT DOG, 6/1</v>
      </c>
      <c r="B536" s="202">
        <f t="shared" si="34"/>
        <v>0</v>
      </c>
      <c r="C536" s="203">
        <v>2</v>
      </c>
      <c r="D536" s="203">
        <f t="shared" si="32"/>
        <v>0</v>
      </c>
    </row>
    <row r="537" spans="1:4" hidden="1" x14ac:dyDescent="0.25">
      <c r="A537" s="61" t="str">
        <f t="shared" si="33"/>
        <v>HOT DOG, 6/1 BILL FRANCE</v>
      </c>
      <c r="B537" s="202">
        <f t="shared" si="34"/>
        <v>0</v>
      </c>
      <c r="C537" s="203">
        <v>1</v>
      </c>
      <c r="D537" s="203">
        <f t="shared" si="32"/>
        <v>0</v>
      </c>
    </row>
    <row r="538" spans="1:4" hidden="1" x14ac:dyDescent="0.25">
      <c r="A538" s="61" t="str">
        <f t="shared" si="33"/>
        <v>HOT DOG, 6/1 CHILI CHEESE</v>
      </c>
      <c r="B538" s="202">
        <f t="shared" si="34"/>
        <v>0</v>
      </c>
      <c r="C538" s="203">
        <v>1</v>
      </c>
      <c r="D538" s="203">
        <f t="shared" si="32"/>
        <v>0</v>
      </c>
    </row>
    <row r="539" spans="1:4" hidden="1" x14ac:dyDescent="0.25">
      <c r="A539" s="61" t="str">
        <f t="shared" si="33"/>
        <v>HOT DOG, 6/1 FIRECRACKER</v>
      </c>
      <c r="B539" s="202">
        <f t="shared" si="34"/>
        <v>0</v>
      </c>
      <c r="C539" s="203">
        <v>3</v>
      </c>
      <c r="D539" s="203">
        <f t="shared" si="32"/>
        <v>0</v>
      </c>
    </row>
    <row r="540" spans="1:4" hidden="1" x14ac:dyDescent="0.25">
      <c r="A540" s="61" t="str">
        <f t="shared" si="33"/>
        <v>HOT DOG, 6/1 FIRECRACKER</v>
      </c>
      <c r="B540" s="202">
        <f t="shared" si="34"/>
        <v>0</v>
      </c>
      <c r="C540" s="203">
        <v>1</v>
      </c>
      <c r="D540" s="203">
        <f t="shared" si="32"/>
        <v>0</v>
      </c>
    </row>
    <row r="541" spans="1:4" hidden="1" x14ac:dyDescent="0.25">
      <c r="A541" s="61" t="str">
        <f t="shared" si="33"/>
        <v>HOT DOG, 6/1 GREEK</v>
      </c>
      <c r="B541" s="202">
        <f t="shared" si="34"/>
        <v>0</v>
      </c>
      <c r="C541" s="203">
        <v>1</v>
      </c>
      <c r="D541" s="203">
        <f t="shared" si="32"/>
        <v>0</v>
      </c>
    </row>
    <row r="542" spans="1:4" hidden="1" x14ac:dyDescent="0.25">
      <c r="A542" s="61" t="str">
        <f t="shared" si="33"/>
        <v>HOT DOG, 6/1 SPECIALTY</v>
      </c>
      <c r="B542" s="202">
        <f t="shared" si="34"/>
        <v>0</v>
      </c>
      <c r="C542" s="203">
        <v>1</v>
      </c>
      <c r="D542" s="203">
        <f t="shared" si="32"/>
        <v>0</v>
      </c>
    </row>
    <row r="543" spans="1:4" hidden="1" x14ac:dyDescent="0.25">
      <c r="A543" s="61" t="str">
        <f t="shared" si="33"/>
        <v>HOT DOG, 6/1 SPECIALTY</v>
      </c>
      <c r="B543" s="202">
        <f t="shared" si="34"/>
        <v>0</v>
      </c>
      <c r="C543" s="203">
        <v>3</v>
      </c>
      <c r="D543" s="203">
        <f t="shared" si="32"/>
        <v>0</v>
      </c>
    </row>
    <row r="544" spans="1:4" hidden="1" x14ac:dyDescent="0.25">
      <c r="A544" s="61" t="str">
        <f t="shared" si="33"/>
        <v>HOT DOG, 6/1 TACHO</v>
      </c>
      <c r="B544" s="202">
        <f t="shared" si="34"/>
        <v>0</v>
      </c>
      <c r="C544" s="203">
        <v>1</v>
      </c>
      <c r="D544" s="203">
        <f t="shared" si="32"/>
        <v>0</v>
      </c>
    </row>
    <row r="545" spans="1:4" hidden="1" x14ac:dyDescent="0.25">
      <c r="A545" s="61" t="str">
        <f t="shared" si="33"/>
        <v>HOT DOG, BILL FRANCE</v>
      </c>
      <c r="B545" s="202">
        <f t="shared" si="34"/>
        <v>0</v>
      </c>
      <c r="C545" s="203">
        <v>1</v>
      </c>
      <c r="D545" s="203">
        <f t="shared" si="32"/>
        <v>0</v>
      </c>
    </row>
    <row r="546" spans="1:4" hidden="1" x14ac:dyDescent="0.25">
      <c r="A546" s="61" t="str">
        <f t="shared" si="33"/>
        <v>HOT DOG, GREEK</v>
      </c>
      <c r="B546" s="202">
        <f t="shared" si="34"/>
        <v>0</v>
      </c>
      <c r="C546" s="203">
        <v>1</v>
      </c>
      <c r="D546" s="203">
        <f t="shared" si="32"/>
        <v>0</v>
      </c>
    </row>
    <row r="547" spans="1:4" hidden="1" x14ac:dyDescent="0.25">
      <c r="A547" s="61" t="str">
        <f t="shared" si="33"/>
        <v>HOT DOG, TACHO</v>
      </c>
      <c r="B547" s="202">
        <f t="shared" si="34"/>
        <v>0</v>
      </c>
      <c r="C547" s="203">
        <v>1</v>
      </c>
      <c r="D547" s="203">
        <f t="shared" si="32"/>
        <v>0</v>
      </c>
    </row>
    <row r="548" spans="1:4" hidden="1" x14ac:dyDescent="0.25">
      <c r="A548" s="61" t="str">
        <f t="shared" si="33"/>
        <v>KIDS MEAL</v>
      </c>
      <c r="B548" s="202">
        <f t="shared" si="34"/>
        <v>0</v>
      </c>
      <c r="C548" s="203">
        <v>2.5</v>
      </c>
      <c r="D548" s="203">
        <f t="shared" si="32"/>
        <v>0</v>
      </c>
    </row>
    <row r="549" spans="1:4" hidden="1" x14ac:dyDescent="0.25">
      <c r="A549" s="61" t="str">
        <f t="shared" si="33"/>
        <v>ONION RINGS</v>
      </c>
      <c r="B549" s="202">
        <f t="shared" si="34"/>
        <v>0</v>
      </c>
      <c r="C549" s="203">
        <v>2</v>
      </c>
      <c r="D549" s="203">
        <f t="shared" si="32"/>
        <v>0</v>
      </c>
    </row>
    <row r="550" spans="1:4" hidden="1" x14ac:dyDescent="0.25">
      <c r="A550" s="61" t="str">
        <f t="shared" si="33"/>
        <v>PANINI ($8 PER SANDWICH =@ $4 PER BREAD SLICE)</v>
      </c>
      <c r="B550" s="202">
        <f t="shared" si="34"/>
        <v>0</v>
      </c>
      <c r="C550" s="203">
        <v>2</v>
      </c>
      <c r="D550" s="203">
        <f t="shared" si="32"/>
        <v>0</v>
      </c>
    </row>
    <row r="551" spans="1:4" hidden="1" x14ac:dyDescent="0.25">
      <c r="A551" s="61" t="str">
        <f t="shared" si="33"/>
        <v>PANINI, MARGHERITA</v>
      </c>
      <c r="B551" s="202">
        <f t="shared" si="34"/>
        <v>0</v>
      </c>
      <c r="C551" s="203">
        <v>4</v>
      </c>
      <c r="D551" s="203">
        <f t="shared" si="32"/>
        <v>0</v>
      </c>
    </row>
    <row r="552" spans="1:4" hidden="1" x14ac:dyDescent="0.25">
      <c r="A552" s="61" t="str">
        <f t="shared" si="33"/>
        <v>PANINI, MARGHERITA</v>
      </c>
      <c r="B552" s="202">
        <f t="shared" si="34"/>
        <v>0</v>
      </c>
      <c r="C552" s="203">
        <v>1</v>
      </c>
      <c r="D552" s="203">
        <f t="shared" si="32"/>
        <v>0</v>
      </c>
    </row>
    <row r="553" spans="1:4" hidden="1" x14ac:dyDescent="0.25">
      <c r="A553" s="61" t="str">
        <f t="shared" si="33"/>
        <v>PANINI, PESTO CHICKEN</v>
      </c>
      <c r="B553" s="202">
        <f t="shared" si="34"/>
        <v>0</v>
      </c>
      <c r="C553" s="203">
        <v>4</v>
      </c>
      <c r="D553" s="203">
        <f t="shared" si="32"/>
        <v>0</v>
      </c>
    </row>
    <row r="554" spans="1:4" hidden="1" x14ac:dyDescent="0.25">
      <c r="A554" s="61" t="str">
        <f t="shared" si="33"/>
        <v>PANINI, PESTO CHICKEN</v>
      </c>
      <c r="B554" s="202">
        <f t="shared" si="34"/>
        <v>0</v>
      </c>
      <c r="C554" s="203">
        <v>1</v>
      </c>
      <c r="D554" s="203">
        <f t="shared" si="32"/>
        <v>0</v>
      </c>
    </row>
    <row r="555" spans="1:4" hidden="1" x14ac:dyDescent="0.25">
      <c r="A555" s="61" t="str">
        <f t="shared" si="33"/>
        <v>PANINI, PIZZA</v>
      </c>
      <c r="B555" s="202">
        <f t="shared" si="34"/>
        <v>0</v>
      </c>
      <c r="C555" s="203">
        <v>4</v>
      </c>
      <c r="D555" s="203">
        <f t="shared" si="32"/>
        <v>0</v>
      </c>
    </row>
    <row r="556" spans="1:4" hidden="1" x14ac:dyDescent="0.25">
      <c r="A556" s="61" t="str">
        <f t="shared" si="33"/>
        <v>PANINI, PIZZA</v>
      </c>
      <c r="B556" s="202">
        <f t="shared" si="34"/>
        <v>0</v>
      </c>
      <c r="C556" s="203">
        <v>1</v>
      </c>
      <c r="D556" s="203">
        <f t="shared" si="32"/>
        <v>0</v>
      </c>
    </row>
    <row r="557" spans="1:4" hidden="1" x14ac:dyDescent="0.25">
      <c r="A557" s="61" t="str">
        <f t="shared" ref="A557:A574" si="35">A100</f>
        <v>SNACK ITEMS</v>
      </c>
      <c r="B557" s="202">
        <f t="shared" ref="B557:B574" si="36">I100</f>
        <v>0</v>
      </c>
      <c r="C557" s="203">
        <v>0</v>
      </c>
      <c r="D557" s="203">
        <f t="shared" si="32"/>
        <v>0</v>
      </c>
    </row>
    <row r="558" spans="1:4" hidden="1" x14ac:dyDescent="0.25">
      <c r="A558" s="61" t="str">
        <f t="shared" si="35"/>
        <v>CANDY</v>
      </c>
      <c r="B558" s="202">
        <f t="shared" si="36"/>
        <v>0</v>
      </c>
      <c r="C558" s="203">
        <v>2.5</v>
      </c>
      <c r="D558" s="203">
        <f t="shared" ref="D558:D621" si="37">B558*C558</f>
        <v>0</v>
      </c>
    </row>
    <row r="559" spans="1:4" hidden="1" x14ac:dyDescent="0.25">
      <c r="A559" s="61" t="str">
        <f t="shared" si="35"/>
        <v xml:space="preserve">CHIPS  </v>
      </c>
      <c r="B559" s="202">
        <f t="shared" si="36"/>
        <v>0</v>
      </c>
      <c r="C559" s="203">
        <v>1</v>
      </c>
      <c r="D559" s="203">
        <f t="shared" si="37"/>
        <v>0</v>
      </c>
    </row>
    <row r="560" spans="1:4" hidden="1" x14ac:dyDescent="0.25">
      <c r="A560" s="61" t="str">
        <f t="shared" si="35"/>
        <v>COOKIES</v>
      </c>
      <c r="B560" s="202">
        <f t="shared" si="36"/>
        <v>0</v>
      </c>
      <c r="C560" s="203">
        <v>1</v>
      </c>
      <c r="D560" s="203">
        <f t="shared" si="37"/>
        <v>0</v>
      </c>
    </row>
    <row r="561" spans="1:4" hidden="1" x14ac:dyDescent="0.25">
      <c r="A561" s="61" t="str">
        <f t="shared" si="35"/>
        <v>NACHOS, GRANDE</v>
      </c>
      <c r="B561" s="202">
        <f t="shared" si="36"/>
        <v>0</v>
      </c>
      <c r="C561" s="203">
        <v>4</v>
      </c>
      <c r="D561" s="203">
        <f t="shared" si="37"/>
        <v>0</v>
      </c>
    </row>
    <row r="562" spans="1:4" hidden="1" x14ac:dyDescent="0.25">
      <c r="A562" s="61" t="str">
        <f t="shared" si="35"/>
        <v>NACHOS, REGULAR W/CHEESE</v>
      </c>
      <c r="B562" s="202">
        <f t="shared" si="36"/>
        <v>0</v>
      </c>
      <c r="C562" s="203">
        <v>3</v>
      </c>
      <c r="D562" s="203">
        <f t="shared" si="37"/>
        <v>0</v>
      </c>
    </row>
    <row r="563" spans="1:4" hidden="1" x14ac:dyDescent="0.25">
      <c r="A563" s="61" t="str">
        <f t="shared" si="35"/>
        <v>NACHOS, TACO</v>
      </c>
      <c r="B563" s="202">
        <f t="shared" si="36"/>
        <v>0</v>
      </c>
      <c r="C563" s="203">
        <v>4.5</v>
      </c>
      <c r="D563" s="203">
        <f t="shared" si="37"/>
        <v>0</v>
      </c>
    </row>
    <row r="564" spans="1:4" hidden="1" x14ac:dyDescent="0.25">
      <c r="A564" s="61" t="str">
        <f t="shared" si="35"/>
        <v>NACHOS, ULTIMATE</v>
      </c>
      <c r="B564" s="202">
        <f t="shared" si="36"/>
        <v>0</v>
      </c>
      <c r="C564" s="203">
        <v>5</v>
      </c>
      <c r="D564" s="203">
        <f t="shared" si="37"/>
        <v>0</v>
      </c>
    </row>
    <row r="565" spans="1:4" hidden="1" x14ac:dyDescent="0.25">
      <c r="A565" s="61" t="str">
        <f t="shared" si="35"/>
        <v>PEANUTS</v>
      </c>
      <c r="B565" s="202">
        <f t="shared" si="36"/>
        <v>0</v>
      </c>
      <c r="C565" s="203">
        <v>2.5</v>
      </c>
      <c r="D565" s="203">
        <f t="shared" si="37"/>
        <v>0</v>
      </c>
    </row>
    <row r="566" spans="1:4" hidden="1" x14ac:dyDescent="0.25">
      <c r="A566" s="61" t="str">
        <f t="shared" si="35"/>
        <v>POPCORN</v>
      </c>
      <c r="B566" s="202">
        <f t="shared" si="36"/>
        <v>0</v>
      </c>
      <c r="C566" s="203">
        <v>2.5</v>
      </c>
      <c r="D566" s="203">
        <f t="shared" si="37"/>
        <v>0</v>
      </c>
    </row>
    <row r="567" spans="1:4" hidden="1" x14ac:dyDescent="0.25">
      <c r="A567" s="61" t="str">
        <f t="shared" si="35"/>
        <v>POPCORN, FRESH</v>
      </c>
      <c r="B567" s="202">
        <f t="shared" si="36"/>
        <v>0</v>
      </c>
      <c r="C567" s="203">
        <v>2</v>
      </c>
      <c r="D567" s="203">
        <f t="shared" si="37"/>
        <v>0</v>
      </c>
    </row>
    <row r="568" spans="1:4" hidden="1" x14ac:dyDescent="0.25">
      <c r="A568" s="61" t="str">
        <f t="shared" si="35"/>
        <v>PRETZEL</v>
      </c>
      <c r="B568" s="202">
        <f t="shared" si="36"/>
        <v>0</v>
      </c>
      <c r="C568" s="203">
        <v>2.5</v>
      </c>
      <c r="D568" s="203">
        <f t="shared" si="37"/>
        <v>0</v>
      </c>
    </row>
    <row r="569" spans="1:4" hidden="1" x14ac:dyDescent="0.25">
      <c r="A569" s="61" t="str">
        <f t="shared" si="35"/>
        <v>PRETZEL CHEESE CUP</v>
      </c>
      <c r="B569" s="202">
        <f t="shared" si="36"/>
        <v>0</v>
      </c>
      <c r="C569" s="203">
        <v>0</v>
      </c>
      <c r="D569" s="203">
        <f t="shared" si="37"/>
        <v>0</v>
      </c>
    </row>
    <row r="570" spans="1:4" hidden="1" x14ac:dyDescent="0.25">
      <c r="A570" s="61">
        <f t="shared" si="35"/>
        <v>0</v>
      </c>
      <c r="B570" s="202">
        <f t="shared" si="36"/>
        <v>0</v>
      </c>
      <c r="C570" s="203">
        <v>0</v>
      </c>
      <c r="D570" s="203">
        <f t="shared" si="37"/>
        <v>0</v>
      </c>
    </row>
    <row r="571" spans="1:4" hidden="1" x14ac:dyDescent="0.25">
      <c r="A571" s="61">
        <f t="shared" si="35"/>
        <v>0</v>
      </c>
      <c r="B571" s="202">
        <f t="shared" si="36"/>
        <v>0</v>
      </c>
      <c r="C571" s="203">
        <v>0</v>
      </c>
      <c r="D571" s="203">
        <f t="shared" si="37"/>
        <v>0</v>
      </c>
    </row>
    <row r="572" spans="1:4" hidden="1" x14ac:dyDescent="0.25">
      <c r="A572" s="61">
        <f t="shared" si="35"/>
        <v>0</v>
      </c>
      <c r="B572" s="202">
        <f t="shared" si="36"/>
        <v>0</v>
      </c>
      <c r="C572" s="203">
        <v>0</v>
      </c>
      <c r="D572" s="203">
        <f t="shared" si="37"/>
        <v>0</v>
      </c>
    </row>
    <row r="573" spans="1:4" hidden="1" x14ac:dyDescent="0.25">
      <c r="A573" s="61">
        <f t="shared" si="35"/>
        <v>0</v>
      </c>
      <c r="B573" s="202">
        <f t="shared" si="36"/>
        <v>0</v>
      </c>
      <c r="C573" s="203">
        <v>0</v>
      </c>
      <c r="D573" s="203">
        <f t="shared" si="37"/>
        <v>0</v>
      </c>
    </row>
    <row r="574" spans="1:4" hidden="1" x14ac:dyDescent="0.25">
      <c r="A574" s="61">
        <f t="shared" si="35"/>
        <v>0</v>
      </c>
      <c r="B574" s="202">
        <f t="shared" si="36"/>
        <v>0</v>
      </c>
      <c r="C574" s="203">
        <v>0</v>
      </c>
      <c r="D574" s="203">
        <f t="shared" si="37"/>
        <v>0</v>
      </c>
    </row>
    <row r="575" spans="1:4" hidden="1" x14ac:dyDescent="0.25">
      <c r="A575" s="61" t="str">
        <f t="shared" ref="A575:A616" si="38">A130</f>
        <v>BEVERAGE ITEMS</v>
      </c>
      <c r="B575" s="202">
        <f t="shared" ref="B575:B616" si="39">I130</f>
        <v>0</v>
      </c>
      <c r="C575" s="203">
        <v>2</v>
      </c>
      <c r="D575" s="203">
        <f t="shared" si="37"/>
        <v>0</v>
      </c>
    </row>
    <row r="576" spans="1:4" hidden="1" x14ac:dyDescent="0.25">
      <c r="A576" s="61" t="str">
        <f t="shared" si="38"/>
        <v>WATER 20OZ</v>
      </c>
      <c r="B576" s="202">
        <f t="shared" si="39"/>
        <v>0</v>
      </c>
      <c r="C576" s="203">
        <v>2</v>
      </c>
      <c r="D576" s="203">
        <f t="shared" si="37"/>
        <v>0</v>
      </c>
    </row>
    <row r="577" spans="1:4" hidden="1" x14ac:dyDescent="0.25">
      <c r="A577" s="61" t="str">
        <f t="shared" si="38"/>
        <v>COKE</v>
      </c>
      <c r="B577" s="202">
        <f t="shared" si="39"/>
        <v>0</v>
      </c>
      <c r="C577" s="203">
        <v>2</v>
      </c>
      <c r="D577" s="203">
        <f t="shared" si="37"/>
        <v>0</v>
      </c>
    </row>
    <row r="578" spans="1:4" hidden="1" x14ac:dyDescent="0.25">
      <c r="A578" s="61" t="str">
        <f t="shared" si="38"/>
        <v>DIET</v>
      </c>
      <c r="B578" s="202">
        <f t="shared" si="39"/>
        <v>0</v>
      </c>
      <c r="C578" s="203">
        <v>2</v>
      </c>
      <c r="D578" s="203">
        <f t="shared" si="37"/>
        <v>0</v>
      </c>
    </row>
    <row r="579" spans="1:4" hidden="1" x14ac:dyDescent="0.25">
      <c r="A579" s="61" t="str">
        <f t="shared" si="38"/>
        <v>SPRITE</v>
      </c>
      <c r="B579" s="202">
        <f t="shared" si="39"/>
        <v>0</v>
      </c>
      <c r="C579" s="203">
        <v>2</v>
      </c>
      <c r="D579" s="203">
        <f t="shared" si="37"/>
        <v>0</v>
      </c>
    </row>
    <row r="580" spans="1:4" hidden="1" x14ac:dyDescent="0.25">
      <c r="A580" s="61" t="str">
        <f t="shared" si="38"/>
        <v>ZERO</v>
      </c>
      <c r="B580" s="202">
        <f t="shared" si="39"/>
        <v>0</v>
      </c>
      <c r="C580" s="203">
        <v>2</v>
      </c>
      <c r="D580" s="203">
        <f t="shared" si="37"/>
        <v>0</v>
      </c>
    </row>
    <row r="581" spans="1:4" hidden="1" x14ac:dyDescent="0.25">
      <c r="A581" s="61" t="str">
        <f t="shared" si="38"/>
        <v>MELLO YELLO</v>
      </c>
      <c r="B581" s="202">
        <f t="shared" si="39"/>
        <v>0</v>
      </c>
      <c r="C581" s="203">
        <v>2</v>
      </c>
      <c r="D581" s="203">
        <f t="shared" si="37"/>
        <v>0</v>
      </c>
    </row>
    <row r="582" spans="1:4" hidden="1" x14ac:dyDescent="0.25">
      <c r="A582" s="61" t="str">
        <f t="shared" si="38"/>
        <v xml:space="preserve">GATORADE </v>
      </c>
      <c r="B582" s="202">
        <f t="shared" si="39"/>
        <v>0</v>
      </c>
      <c r="C582" s="203">
        <v>2.5</v>
      </c>
      <c r="D582" s="203">
        <f t="shared" si="37"/>
        <v>0</v>
      </c>
    </row>
    <row r="583" spans="1:4" hidden="1" x14ac:dyDescent="0.25">
      <c r="A583" s="61" t="str">
        <f t="shared" si="38"/>
        <v>FULL THROTTLE</v>
      </c>
      <c r="B583" s="202">
        <f t="shared" si="39"/>
        <v>0</v>
      </c>
      <c r="C583" s="203">
        <v>0.5</v>
      </c>
      <c r="D583" s="203">
        <f t="shared" si="37"/>
        <v>0</v>
      </c>
    </row>
    <row r="584" spans="1:4" hidden="1" x14ac:dyDescent="0.25">
      <c r="A584" s="61" t="str">
        <f t="shared" si="38"/>
        <v>SOUV CUP OF ICE</v>
      </c>
      <c r="B584" s="202">
        <f t="shared" si="39"/>
        <v>0</v>
      </c>
      <c r="C584" s="203">
        <v>2</v>
      </c>
      <c r="D584" s="203">
        <f t="shared" si="37"/>
        <v>0</v>
      </c>
    </row>
    <row r="585" spans="1:4" hidden="1" x14ac:dyDescent="0.25">
      <c r="A585" s="61" t="str">
        <f t="shared" si="38"/>
        <v>COFFEE/HOT COCOA</v>
      </c>
      <c r="B585" s="202">
        <f t="shared" si="39"/>
        <v>0</v>
      </c>
      <c r="C585" s="203">
        <v>2.5</v>
      </c>
      <c r="D585" s="203">
        <f t="shared" si="37"/>
        <v>0</v>
      </c>
    </row>
    <row r="586" spans="1:4" hidden="1" x14ac:dyDescent="0.25">
      <c r="A586" s="61" t="str">
        <f t="shared" si="38"/>
        <v>BOJ ICED TEA</v>
      </c>
      <c r="B586" s="202">
        <f t="shared" si="39"/>
        <v>0</v>
      </c>
      <c r="C586" s="203">
        <v>2.5</v>
      </c>
      <c r="D586" s="203">
        <f t="shared" si="37"/>
        <v>0</v>
      </c>
    </row>
    <row r="587" spans="1:4" hidden="1" x14ac:dyDescent="0.25">
      <c r="A587" s="61" t="str">
        <f t="shared" si="38"/>
        <v>TEA, SWEET OR UNSWEET</v>
      </c>
      <c r="B587" s="202">
        <f t="shared" si="39"/>
        <v>0</v>
      </c>
      <c r="C587" s="203">
        <v>2</v>
      </c>
      <c r="D587" s="203">
        <f t="shared" si="37"/>
        <v>0</v>
      </c>
    </row>
    <row r="588" spans="1:4" hidden="1" x14ac:dyDescent="0.25">
      <c r="A588" s="61" t="str">
        <f t="shared" si="38"/>
        <v>TERVIS - SODA</v>
      </c>
      <c r="B588" s="202">
        <f t="shared" si="39"/>
        <v>0</v>
      </c>
      <c r="C588" s="203">
        <v>0</v>
      </c>
      <c r="D588" s="203">
        <f t="shared" si="37"/>
        <v>0</v>
      </c>
    </row>
    <row r="589" spans="1:4" hidden="1" x14ac:dyDescent="0.25">
      <c r="A589" s="61">
        <f t="shared" si="38"/>
        <v>0</v>
      </c>
      <c r="B589" s="202">
        <f t="shared" si="39"/>
        <v>0</v>
      </c>
      <c r="C589" s="203">
        <v>5</v>
      </c>
      <c r="D589" s="203">
        <f t="shared" si="37"/>
        <v>0</v>
      </c>
    </row>
    <row r="590" spans="1:4" hidden="1" x14ac:dyDescent="0.25">
      <c r="A590" s="61" t="str">
        <f t="shared" si="38"/>
        <v>ICE</v>
      </c>
      <c r="B590" s="202">
        <f t="shared" si="39"/>
        <v>0</v>
      </c>
      <c r="C590" s="203">
        <v>0</v>
      </c>
      <c r="D590" s="203">
        <f t="shared" si="37"/>
        <v>0</v>
      </c>
    </row>
    <row r="591" spans="1:4" hidden="1" x14ac:dyDescent="0.25">
      <c r="A591" s="61">
        <f t="shared" si="38"/>
        <v>0</v>
      </c>
      <c r="B591" s="202">
        <f t="shared" si="39"/>
        <v>0</v>
      </c>
      <c r="C591" s="203">
        <v>0</v>
      </c>
      <c r="D591" s="203">
        <f t="shared" si="37"/>
        <v>0</v>
      </c>
    </row>
    <row r="592" spans="1:4" hidden="1" x14ac:dyDescent="0.25">
      <c r="A592" s="61">
        <f t="shared" si="38"/>
        <v>0</v>
      </c>
      <c r="B592" s="202">
        <f t="shared" si="39"/>
        <v>0</v>
      </c>
      <c r="C592" s="203">
        <v>0</v>
      </c>
      <c r="D592" s="203">
        <f t="shared" si="37"/>
        <v>0</v>
      </c>
    </row>
    <row r="593" spans="1:4" hidden="1" x14ac:dyDescent="0.25">
      <c r="A593" s="61" t="str">
        <f t="shared" si="38"/>
        <v>ALCOHOL ITEMS</v>
      </c>
      <c r="B593" s="202">
        <f t="shared" si="39"/>
        <v>0</v>
      </c>
      <c r="C593" s="203">
        <v>3</v>
      </c>
      <c r="D593" s="203">
        <f t="shared" si="37"/>
        <v>0</v>
      </c>
    </row>
    <row r="594" spans="1:4" hidden="1" x14ac:dyDescent="0.25">
      <c r="A594" s="61" t="str">
        <f t="shared" si="38"/>
        <v>BEER, BUD</v>
      </c>
      <c r="B594" s="202">
        <f t="shared" si="39"/>
        <v>0</v>
      </c>
      <c r="C594" s="203">
        <v>3</v>
      </c>
      <c r="D594" s="203">
        <f t="shared" si="37"/>
        <v>0</v>
      </c>
    </row>
    <row r="595" spans="1:4" hidden="1" x14ac:dyDescent="0.25">
      <c r="A595" s="61" t="str">
        <f t="shared" si="38"/>
        <v xml:space="preserve">BEER, BUD LIGHT </v>
      </c>
      <c r="B595" s="202">
        <f t="shared" si="39"/>
        <v>0</v>
      </c>
      <c r="C595" s="203">
        <v>3</v>
      </c>
      <c r="D595" s="203">
        <f t="shared" si="37"/>
        <v>0</v>
      </c>
    </row>
    <row r="596" spans="1:4" hidden="1" x14ac:dyDescent="0.25">
      <c r="A596" s="61" t="str">
        <f t="shared" si="38"/>
        <v>BEER, COORS LIGHT</v>
      </c>
      <c r="B596" s="202">
        <f t="shared" si="39"/>
        <v>0</v>
      </c>
      <c r="C596" s="203">
        <v>3</v>
      </c>
      <c r="D596" s="203">
        <f t="shared" si="37"/>
        <v>0</v>
      </c>
    </row>
    <row r="597" spans="1:4" hidden="1" x14ac:dyDescent="0.25">
      <c r="A597" s="61" t="str">
        <f t="shared" si="38"/>
        <v>BEER, MILLER LITE</v>
      </c>
      <c r="B597" s="202">
        <f t="shared" si="39"/>
        <v>0</v>
      </c>
      <c r="C597" s="203">
        <v>3.5</v>
      </c>
      <c r="D597" s="203">
        <f t="shared" si="37"/>
        <v>0</v>
      </c>
    </row>
    <row r="598" spans="1:4" hidden="1" x14ac:dyDescent="0.25">
      <c r="A598" s="61" t="str">
        <f t="shared" si="38"/>
        <v>BEER, MICHELOB ULTRA</v>
      </c>
      <c r="B598" s="202">
        <f t="shared" si="39"/>
        <v>0</v>
      </c>
      <c r="C598" s="203">
        <v>3.5</v>
      </c>
      <c r="D598" s="203">
        <f t="shared" si="37"/>
        <v>0</v>
      </c>
    </row>
    <row r="599" spans="1:4" hidden="1" x14ac:dyDescent="0.25">
      <c r="A599" s="61" t="str">
        <f t="shared" si="38"/>
        <v>BEER, BUD ALUM</v>
      </c>
      <c r="B599" s="202">
        <f t="shared" si="39"/>
        <v>0</v>
      </c>
      <c r="C599" s="203">
        <v>3.5</v>
      </c>
      <c r="D599" s="203">
        <f t="shared" si="37"/>
        <v>0</v>
      </c>
    </row>
    <row r="600" spans="1:4" hidden="1" x14ac:dyDescent="0.25">
      <c r="A600" s="61" t="str">
        <f t="shared" si="38"/>
        <v>BEER, BUD LIGHT ALUM</v>
      </c>
      <c r="B600" s="202">
        <f t="shared" si="39"/>
        <v>0</v>
      </c>
      <c r="C600" s="203">
        <v>3.5</v>
      </c>
      <c r="D600" s="203">
        <f t="shared" si="37"/>
        <v>0</v>
      </c>
    </row>
    <row r="601" spans="1:4" hidden="1" x14ac:dyDescent="0.25">
      <c r="A601" s="61" t="str">
        <f t="shared" si="38"/>
        <v>BEER, MICHELOB ULTRA ALUM</v>
      </c>
      <c r="B601" s="202">
        <f t="shared" si="39"/>
        <v>0</v>
      </c>
      <c r="C601" s="203">
        <v>2</v>
      </c>
      <c r="D601" s="203">
        <f t="shared" si="37"/>
        <v>0</v>
      </c>
    </row>
    <row r="602" spans="1:4" hidden="1" x14ac:dyDescent="0.25">
      <c r="A602" s="61" t="str">
        <f t="shared" si="38"/>
        <v>BEER, BUD LIGHT LIME ALUM</v>
      </c>
      <c r="B602" s="202">
        <f t="shared" si="39"/>
        <v>0</v>
      </c>
      <c r="C602" s="203">
        <v>0</v>
      </c>
      <c r="D602" s="203">
        <f t="shared" si="37"/>
        <v>0</v>
      </c>
    </row>
    <row r="603" spans="1:4" hidden="1" x14ac:dyDescent="0.25">
      <c r="A603" s="61" t="str">
        <f t="shared" si="38"/>
        <v>BEER, BUD FAN APPRECIATION</v>
      </c>
      <c r="B603" s="202">
        <f t="shared" si="39"/>
        <v>0</v>
      </c>
      <c r="C603" s="203">
        <v>4.5</v>
      </c>
      <c r="D603" s="203">
        <f t="shared" si="37"/>
        <v>0</v>
      </c>
    </row>
    <row r="604" spans="1:4" hidden="1" x14ac:dyDescent="0.25">
      <c r="A604" s="61">
        <f t="shared" si="38"/>
        <v>0</v>
      </c>
      <c r="B604" s="202">
        <f t="shared" si="39"/>
        <v>0</v>
      </c>
      <c r="C604" s="203">
        <v>4.5</v>
      </c>
      <c r="D604" s="203">
        <f t="shared" si="37"/>
        <v>0</v>
      </c>
    </row>
    <row r="605" spans="1:4" hidden="1" x14ac:dyDescent="0.25">
      <c r="A605" s="61" t="str">
        <f t="shared" si="38"/>
        <v>BEER, DRAFT DOMESTIC</v>
      </c>
      <c r="B605" s="202">
        <f t="shared" si="39"/>
        <v>0</v>
      </c>
      <c r="C605" s="203">
        <v>0</v>
      </c>
      <c r="D605" s="203">
        <f t="shared" si="37"/>
        <v>0</v>
      </c>
    </row>
    <row r="606" spans="1:4" hidden="1" x14ac:dyDescent="0.25">
      <c r="A606" s="61" t="str">
        <f t="shared" si="38"/>
        <v>BEER, DRAFT PREMIUM</v>
      </c>
      <c r="B606" s="202">
        <f t="shared" si="39"/>
        <v>0</v>
      </c>
      <c r="C606" s="203">
        <v>3.5</v>
      </c>
      <c r="D606" s="203">
        <f t="shared" si="37"/>
        <v>0</v>
      </c>
    </row>
    <row r="607" spans="1:4" hidden="1" x14ac:dyDescent="0.25">
      <c r="A607" s="61">
        <f t="shared" si="38"/>
        <v>0</v>
      </c>
      <c r="B607" s="202">
        <f t="shared" si="39"/>
        <v>0</v>
      </c>
      <c r="C607" s="203">
        <v>3.5</v>
      </c>
      <c r="D607" s="203">
        <f t="shared" si="37"/>
        <v>0</v>
      </c>
    </row>
    <row r="608" spans="1:4" hidden="1" x14ac:dyDescent="0.25">
      <c r="A608" s="61" t="str">
        <f t="shared" si="38"/>
        <v>BEER, LANDSHARK</v>
      </c>
      <c r="B608" s="202">
        <f t="shared" si="39"/>
        <v>0</v>
      </c>
      <c r="C608" s="203">
        <v>3.5</v>
      </c>
      <c r="D608" s="203">
        <f t="shared" si="37"/>
        <v>0</v>
      </c>
    </row>
    <row r="609" spans="1:4" hidden="1" x14ac:dyDescent="0.25">
      <c r="A609" s="61" t="str">
        <f t="shared" si="38"/>
        <v>BEER, SHOCK TOP BELGIUM WHITE</v>
      </c>
      <c r="B609" s="202">
        <f t="shared" si="39"/>
        <v>0</v>
      </c>
      <c r="C609" s="203">
        <v>3.5</v>
      </c>
      <c r="D609" s="203">
        <f t="shared" si="37"/>
        <v>0</v>
      </c>
    </row>
    <row r="610" spans="1:4" hidden="1" x14ac:dyDescent="0.25">
      <c r="A610" s="61" t="str">
        <f t="shared" si="38"/>
        <v>BEER, SHOCK TOP SHANDY</v>
      </c>
      <c r="B610" s="202">
        <f t="shared" si="39"/>
        <v>0</v>
      </c>
      <c r="C610" s="203">
        <v>0</v>
      </c>
      <c r="D610" s="203">
        <f t="shared" si="37"/>
        <v>0</v>
      </c>
    </row>
    <row r="611" spans="1:4" hidden="1" x14ac:dyDescent="0.25">
      <c r="A611" s="61" t="str">
        <f t="shared" si="38"/>
        <v>BEER, STELLA</v>
      </c>
      <c r="B611" s="202">
        <f t="shared" si="39"/>
        <v>0</v>
      </c>
      <c r="C611" s="203">
        <v>4</v>
      </c>
      <c r="D611" s="203">
        <f t="shared" si="37"/>
        <v>0</v>
      </c>
    </row>
    <row r="612" spans="1:4" hidden="1" x14ac:dyDescent="0.25">
      <c r="A612" s="61" t="str">
        <f t="shared" si="38"/>
        <v>BEER, DRAFT</v>
      </c>
      <c r="B612" s="202">
        <f t="shared" si="39"/>
        <v>0</v>
      </c>
      <c r="C612" s="203">
        <v>4</v>
      </c>
      <c r="D612" s="203">
        <f t="shared" si="37"/>
        <v>0</v>
      </c>
    </row>
    <row r="613" spans="1:4" hidden="1" x14ac:dyDescent="0.25">
      <c r="A613" s="61" t="str">
        <f t="shared" si="38"/>
        <v>MALT, LIME A RITA</v>
      </c>
      <c r="B613" s="202">
        <f t="shared" si="39"/>
        <v>0</v>
      </c>
      <c r="C613" s="203">
        <v>0</v>
      </c>
      <c r="D613" s="203">
        <f t="shared" si="37"/>
        <v>0</v>
      </c>
    </row>
    <row r="614" spans="1:4" hidden="1" x14ac:dyDescent="0.25">
      <c r="A614" s="61" t="str">
        <f t="shared" si="38"/>
        <v>MALT, STRAWBER-RITA</v>
      </c>
      <c r="B614" s="202">
        <f t="shared" si="39"/>
        <v>0</v>
      </c>
      <c r="C614" s="203">
        <v>0.5</v>
      </c>
      <c r="D614" s="203">
        <f t="shared" si="37"/>
        <v>0</v>
      </c>
    </row>
    <row r="615" spans="1:4" hidden="1" x14ac:dyDescent="0.25">
      <c r="A615" s="61" t="str">
        <f t="shared" si="38"/>
        <v>MALT, JOHNNY APPLE SEED CIDER</v>
      </c>
      <c r="B615" s="202">
        <f t="shared" si="39"/>
        <v>0</v>
      </c>
      <c r="C615" s="203">
        <v>0</v>
      </c>
      <c r="D615" s="203">
        <f t="shared" si="37"/>
        <v>0</v>
      </c>
    </row>
    <row r="616" spans="1:4" hidden="1" x14ac:dyDescent="0.25">
      <c r="A616" s="61">
        <f t="shared" si="38"/>
        <v>0</v>
      </c>
      <c r="B616" s="202">
        <f t="shared" si="39"/>
        <v>0</v>
      </c>
      <c r="C616" s="203">
        <v>0</v>
      </c>
      <c r="D616" s="203">
        <f t="shared" si="37"/>
        <v>0</v>
      </c>
    </row>
    <row r="617" spans="1:4" hidden="1" x14ac:dyDescent="0.25">
      <c r="A617" s="61" t="str">
        <f t="shared" ref="A617:A638" si="40">A172</f>
        <v>BUCKET</v>
      </c>
      <c r="B617" s="202">
        <f t="shared" ref="B617:B638" si="41">I172</f>
        <v>0</v>
      </c>
      <c r="C617" s="203">
        <v>0</v>
      </c>
      <c r="D617" s="203">
        <f t="shared" si="37"/>
        <v>0</v>
      </c>
    </row>
    <row r="618" spans="1:4" hidden="1" x14ac:dyDescent="0.25">
      <c r="A618" s="61">
        <f t="shared" si="40"/>
        <v>0</v>
      </c>
      <c r="B618" s="202">
        <f t="shared" si="41"/>
        <v>0</v>
      </c>
      <c r="C618" s="203">
        <v>5</v>
      </c>
      <c r="D618" s="203">
        <f t="shared" si="37"/>
        <v>0</v>
      </c>
    </row>
    <row r="619" spans="1:4" hidden="1" x14ac:dyDescent="0.25">
      <c r="A619" s="61">
        <f t="shared" si="40"/>
        <v>0</v>
      </c>
      <c r="B619" s="202">
        <f t="shared" si="41"/>
        <v>0</v>
      </c>
      <c r="C619" s="203">
        <v>0.5</v>
      </c>
      <c r="D619" s="203">
        <f t="shared" si="37"/>
        <v>0</v>
      </c>
    </row>
    <row r="620" spans="1:4" hidden="1" x14ac:dyDescent="0.25">
      <c r="A620" s="61">
        <f t="shared" si="40"/>
        <v>0</v>
      </c>
      <c r="B620" s="202">
        <f t="shared" si="41"/>
        <v>0</v>
      </c>
      <c r="C620" s="203">
        <v>0</v>
      </c>
      <c r="D620" s="203">
        <f t="shared" si="37"/>
        <v>0</v>
      </c>
    </row>
    <row r="621" spans="1:4" hidden="1" x14ac:dyDescent="0.25">
      <c r="A621" s="61" t="str">
        <f t="shared" si="40"/>
        <v>DRINKS, BOMBERS</v>
      </c>
      <c r="B621" s="202">
        <f t="shared" si="41"/>
        <v>0</v>
      </c>
      <c r="C621" s="203">
        <v>0</v>
      </c>
      <c r="D621" s="203">
        <f t="shared" si="37"/>
        <v>0</v>
      </c>
    </row>
    <row r="622" spans="1:4" hidden="1" x14ac:dyDescent="0.25">
      <c r="A622" s="61" t="str">
        <f t="shared" si="40"/>
        <v>DRINKS, FROZEN</v>
      </c>
      <c r="B622" s="202">
        <f t="shared" si="41"/>
        <v>0</v>
      </c>
      <c r="C622" s="203">
        <v>0</v>
      </c>
      <c r="D622" s="203">
        <f t="shared" ref="D622:D641" si="42">B622*C622</f>
        <v>0</v>
      </c>
    </row>
    <row r="623" spans="1:4" hidden="1" x14ac:dyDescent="0.25">
      <c r="A623" s="61" t="str">
        <f t="shared" si="40"/>
        <v>DRINKS, MIXED</v>
      </c>
      <c r="B623" s="202">
        <f t="shared" si="41"/>
        <v>0</v>
      </c>
      <c r="C623" s="203">
        <v>0</v>
      </c>
      <c r="D623" s="203">
        <f t="shared" si="42"/>
        <v>0</v>
      </c>
    </row>
    <row r="624" spans="1:4" hidden="1" x14ac:dyDescent="0.25">
      <c r="A624" s="61" t="str">
        <f t="shared" si="40"/>
        <v>DRINKS, MIXED W/PATRON</v>
      </c>
      <c r="B624" s="202">
        <f t="shared" si="41"/>
        <v>0</v>
      </c>
      <c r="C624" s="203">
        <v>100</v>
      </c>
      <c r="D624" s="203">
        <f t="shared" si="42"/>
        <v>0</v>
      </c>
    </row>
    <row r="625" spans="1:4" hidden="1" x14ac:dyDescent="0.25">
      <c r="A625" s="61" t="str">
        <f t="shared" si="40"/>
        <v>DRINKS, SHOT</v>
      </c>
      <c r="B625" s="202">
        <f t="shared" si="41"/>
        <v>0</v>
      </c>
      <c r="C625" s="203">
        <v>100</v>
      </c>
      <c r="D625" s="203">
        <f t="shared" si="42"/>
        <v>0</v>
      </c>
    </row>
    <row r="626" spans="1:4" hidden="1" x14ac:dyDescent="0.25">
      <c r="A626" s="61" t="str">
        <f t="shared" si="40"/>
        <v>DRINKS, SHOT W/PATRON</v>
      </c>
      <c r="B626" s="202">
        <f t="shared" si="41"/>
        <v>0</v>
      </c>
      <c r="C626" s="203">
        <v>100</v>
      </c>
      <c r="D626" s="203">
        <f t="shared" si="42"/>
        <v>0</v>
      </c>
    </row>
    <row r="627" spans="1:4" hidden="1" x14ac:dyDescent="0.25">
      <c r="A627" s="61" t="str">
        <f t="shared" si="40"/>
        <v>LIQUOR, CROWN ROYAL 1L</v>
      </c>
      <c r="B627" s="202">
        <f t="shared" si="41"/>
        <v>0</v>
      </c>
      <c r="C627" s="203">
        <v>100</v>
      </c>
      <c r="D627" s="203">
        <f t="shared" si="42"/>
        <v>0</v>
      </c>
    </row>
    <row r="628" spans="1:4" hidden="1" x14ac:dyDescent="0.25">
      <c r="A628" s="61" t="str">
        <f t="shared" si="40"/>
        <v>LIQUOR, GIN PINNACLE 1L</v>
      </c>
      <c r="B628" s="202">
        <f t="shared" si="41"/>
        <v>0</v>
      </c>
      <c r="C628" s="203">
        <v>100</v>
      </c>
      <c r="D628" s="203">
        <f t="shared" si="42"/>
        <v>0</v>
      </c>
    </row>
    <row r="629" spans="1:4" hidden="1" x14ac:dyDescent="0.25">
      <c r="A629" s="61" t="str">
        <f t="shared" si="40"/>
        <v>LIQUOR, GIN SEAGRAM'S</v>
      </c>
      <c r="B629" s="202">
        <f t="shared" si="41"/>
        <v>0</v>
      </c>
      <c r="C629" s="203">
        <v>100</v>
      </c>
      <c r="D629" s="203">
        <f t="shared" si="42"/>
        <v>0</v>
      </c>
    </row>
    <row r="630" spans="1:4" hidden="1" x14ac:dyDescent="0.25">
      <c r="A630" s="61" t="str">
        <f t="shared" si="40"/>
        <v>LIQUOR, GIN TANQUERAY</v>
      </c>
      <c r="B630" s="202">
        <f t="shared" si="41"/>
        <v>0</v>
      </c>
      <c r="C630" s="203">
        <v>100</v>
      </c>
      <c r="D630" s="203">
        <f t="shared" si="42"/>
        <v>0</v>
      </c>
    </row>
    <row r="631" spans="1:4" hidden="1" x14ac:dyDescent="0.25">
      <c r="A631" s="61" t="str">
        <f t="shared" si="40"/>
        <v xml:space="preserve">LIQUOR, JACK DANIELS  </v>
      </c>
      <c r="B631" s="202">
        <f t="shared" si="41"/>
        <v>0</v>
      </c>
      <c r="C631" s="203">
        <v>100</v>
      </c>
      <c r="D631" s="203">
        <f t="shared" si="42"/>
        <v>0</v>
      </c>
    </row>
    <row r="632" spans="1:4" hidden="1" x14ac:dyDescent="0.25">
      <c r="A632" s="61" t="str">
        <f t="shared" si="40"/>
        <v>LIQUOR, JACK DANIELS BLACK</v>
      </c>
      <c r="B632" s="202">
        <f t="shared" si="41"/>
        <v>0</v>
      </c>
      <c r="C632" s="203">
        <v>100</v>
      </c>
      <c r="D632" s="203">
        <f t="shared" si="42"/>
        <v>0</v>
      </c>
    </row>
    <row r="633" spans="1:4" hidden="1" x14ac:dyDescent="0.25">
      <c r="A633" s="61" t="str">
        <f t="shared" si="40"/>
        <v>LIQUOR, JACK DANIELS GENTLEMAN JACK</v>
      </c>
      <c r="B633" s="202">
        <f t="shared" si="41"/>
        <v>0</v>
      </c>
      <c r="C633" s="203">
        <v>100</v>
      </c>
      <c r="D633" s="203">
        <f t="shared" si="42"/>
        <v>0</v>
      </c>
    </row>
    <row r="634" spans="1:4" hidden="1" x14ac:dyDescent="0.25">
      <c r="A634" s="61" t="str">
        <f t="shared" si="40"/>
        <v>LIQUOR, JACK DANIELS HONEY</v>
      </c>
      <c r="B634" s="202">
        <f t="shared" si="41"/>
        <v>0</v>
      </c>
      <c r="C634" s="203">
        <v>100</v>
      </c>
      <c r="D634" s="203">
        <f t="shared" si="42"/>
        <v>0</v>
      </c>
    </row>
    <row r="635" spans="1:4" hidden="1" x14ac:dyDescent="0.25">
      <c r="A635" s="61" t="str">
        <f t="shared" si="40"/>
        <v>LIQUOR, JACK DANIELS RYE</v>
      </c>
      <c r="B635" s="202">
        <f t="shared" si="41"/>
        <v>0</v>
      </c>
      <c r="C635" s="203">
        <v>100</v>
      </c>
      <c r="D635" s="203">
        <f t="shared" si="42"/>
        <v>0</v>
      </c>
    </row>
    <row r="636" spans="1:4" hidden="1" x14ac:dyDescent="0.25">
      <c r="A636" s="61" t="str">
        <f t="shared" si="40"/>
        <v>LIQUOR, JACK DANIELS SINGLE BARREL</v>
      </c>
      <c r="B636" s="202">
        <f t="shared" si="41"/>
        <v>0</v>
      </c>
      <c r="C636" s="203">
        <v>100</v>
      </c>
      <c r="D636" s="203">
        <f t="shared" si="42"/>
        <v>0</v>
      </c>
    </row>
    <row r="637" spans="1:4" hidden="1" x14ac:dyDescent="0.25">
      <c r="A637" s="61" t="str">
        <f t="shared" si="40"/>
        <v>LIQUOR, JAGERMEISTER 1L</v>
      </c>
      <c r="B637" s="202">
        <f t="shared" si="41"/>
        <v>0</v>
      </c>
      <c r="C637" s="203">
        <v>100</v>
      </c>
      <c r="D637" s="203">
        <f t="shared" si="42"/>
        <v>0</v>
      </c>
    </row>
    <row r="638" spans="1:4" hidden="1" x14ac:dyDescent="0.25">
      <c r="A638" s="61" t="str">
        <f t="shared" si="40"/>
        <v>LIQUOR, JIM BEAM</v>
      </c>
      <c r="B638" s="202">
        <f t="shared" si="41"/>
        <v>0</v>
      </c>
      <c r="C638" s="203">
        <v>100</v>
      </c>
      <c r="D638" s="203">
        <f t="shared" si="42"/>
        <v>0</v>
      </c>
    </row>
    <row r="639" spans="1:4" hidden="1" x14ac:dyDescent="0.25">
      <c r="A639" s="61" t="str">
        <f>A194</f>
        <v>LIQUOR, JIM BEAM BLACK</v>
      </c>
      <c r="B639" s="202">
        <f>I194</f>
        <v>0</v>
      </c>
      <c r="C639" s="203">
        <v>100</v>
      </c>
      <c r="D639" s="203">
        <f t="shared" si="42"/>
        <v>0</v>
      </c>
    </row>
    <row r="640" spans="1:4" hidden="1" x14ac:dyDescent="0.25">
      <c r="A640" s="61" t="str">
        <f>A195</f>
        <v>LIQUOR, JIM BEAM BLACK CHERRY</v>
      </c>
      <c r="B640" s="202">
        <f>I195</f>
        <v>0</v>
      </c>
      <c r="C640" s="203">
        <v>100</v>
      </c>
      <c r="D640" s="203">
        <f t="shared" si="42"/>
        <v>0</v>
      </c>
    </row>
    <row r="641" spans="1:8" hidden="1" x14ac:dyDescent="0.25">
      <c r="A641" s="61" t="e">
        <f>#REF!</f>
        <v>#REF!</v>
      </c>
      <c r="B641" s="202" t="e">
        <f>#REF!</f>
        <v>#REF!</v>
      </c>
      <c r="C641" s="203">
        <v>0</v>
      </c>
      <c r="D641" s="203" t="e">
        <f t="shared" si="42"/>
        <v>#REF!</v>
      </c>
    </row>
    <row r="642" spans="1:8" ht="14.25" hidden="1" thickBot="1" x14ac:dyDescent="0.3">
      <c r="A642" s="204" t="s">
        <v>438</v>
      </c>
      <c r="D642" s="205" t="e">
        <f>SUM(D493:D641)</f>
        <v>#REF!</v>
      </c>
    </row>
    <row r="643" spans="1:8" hidden="1" x14ac:dyDescent="0.25"/>
    <row r="644" spans="1:8" hidden="1" x14ac:dyDescent="0.25"/>
    <row r="645" spans="1:8" hidden="1" x14ac:dyDescent="0.25">
      <c r="A645" s="206" t="s">
        <v>400</v>
      </c>
      <c r="B645" s="349" t="str">
        <f>B1</f>
        <v>TRAILER 2 FAN ZONE</v>
      </c>
      <c r="C645" s="349"/>
      <c r="D645" s="349"/>
      <c r="E645" s="207" t="s">
        <v>439</v>
      </c>
      <c r="F645" s="350"/>
      <c r="G645" s="351"/>
    </row>
    <row r="646" spans="1:8" hidden="1" x14ac:dyDescent="0.25">
      <c r="A646" s="206" t="s">
        <v>394</v>
      </c>
      <c r="B646" s="338" t="str">
        <f>B2</f>
        <v>Bike Week</v>
      </c>
      <c r="C646" s="338"/>
      <c r="D646" s="338"/>
    </row>
    <row r="647" spans="1:8" hidden="1" x14ac:dyDescent="0.25">
      <c r="A647" s="206" t="s">
        <v>396</v>
      </c>
      <c r="B647" s="339" t="str">
        <f>B3</f>
        <v>3/7/15 &amp; 3/14/15</v>
      </c>
      <c r="C647" s="339"/>
      <c r="D647" s="340"/>
    </row>
    <row r="648" spans="1:8" hidden="1" x14ac:dyDescent="0.25">
      <c r="A648" s="97" t="s">
        <v>389</v>
      </c>
      <c r="B648" s="341" t="s">
        <v>440</v>
      </c>
      <c r="C648" s="342"/>
      <c r="D648" s="343" t="s">
        <v>75</v>
      </c>
      <c r="E648" s="343"/>
      <c r="F648" s="18"/>
      <c r="G648" s="18"/>
      <c r="H648" s="18"/>
    </row>
    <row r="649" spans="1:8" hidden="1" x14ac:dyDescent="0.25">
      <c r="A649" s="61" t="str">
        <f t="shared" ref="A649:A680" si="43">A7</f>
        <v>BBQ CHICKEN SANDWICH</v>
      </c>
      <c r="B649" s="344"/>
      <c r="C649" s="345"/>
      <c r="D649" s="344"/>
      <c r="E649" s="345"/>
      <c r="F649" s="208"/>
      <c r="G649" s="208"/>
      <c r="H649" s="208"/>
    </row>
    <row r="650" spans="1:8" hidden="1" x14ac:dyDescent="0.25">
      <c r="A650" s="61" t="str">
        <f t="shared" si="43"/>
        <v>BBQ CHICKEN SANDWICH PLATTER</v>
      </c>
      <c r="B650" s="209"/>
      <c r="C650" s="210"/>
      <c r="D650" s="209"/>
      <c r="E650" s="210"/>
      <c r="F650" s="208"/>
      <c r="G650" s="208"/>
      <c r="H650" s="208"/>
    </row>
    <row r="651" spans="1:8" hidden="1" x14ac:dyDescent="0.25">
      <c r="A651" s="61" t="str">
        <f t="shared" si="43"/>
        <v>BBQ PORK SANDWICH</v>
      </c>
      <c r="B651" s="209"/>
      <c r="C651" s="210"/>
      <c r="D651" s="209"/>
      <c r="E651" s="210"/>
      <c r="F651" s="208"/>
      <c r="G651" s="208"/>
      <c r="H651" s="208"/>
    </row>
    <row r="652" spans="1:8" hidden="1" x14ac:dyDescent="0.25">
      <c r="A652" s="61" t="str">
        <f t="shared" si="43"/>
        <v>BBQ PORK SANDWICH PLATTER</v>
      </c>
      <c r="B652" s="209"/>
      <c r="C652" s="210"/>
      <c r="D652" s="209"/>
      <c r="E652" s="210"/>
      <c r="F652" s="208"/>
      <c r="G652" s="208"/>
      <c r="H652" s="208"/>
    </row>
    <row r="653" spans="1:8" hidden="1" x14ac:dyDescent="0.25">
      <c r="A653" s="61" t="str">
        <f t="shared" si="43"/>
        <v>BOJ CAJUN CHICKEN SANDWICH</v>
      </c>
      <c r="B653" s="209"/>
      <c r="C653" s="210"/>
      <c r="D653" s="209"/>
      <c r="E653" s="210"/>
      <c r="F653" s="208"/>
      <c r="G653" s="208"/>
      <c r="H653" s="208"/>
    </row>
    <row r="654" spans="1:8" hidden="1" x14ac:dyDescent="0.25">
      <c r="A654" s="61" t="str">
        <f t="shared" si="43"/>
        <v>BOJ CAJUN CHICKEN SANDWICH</v>
      </c>
      <c r="B654" s="209"/>
      <c r="C654" s="210"/>
      <c r="D654" s="209"/>
      <c r="E654" s="210"/>
      <c r="F654" s="208"/>
      <c r="G654" s="208"/>
      <c r="H654" s="208"/>
    </row>
    <row r="655" spans="1:8" hidden="1" x14ac:dyDescent="0.25">
      <c r="A655" s="61" t="str">
        <f t="shared" si="43"/>
        <v>BOJ CHICKEN SUPREMES</v>
      </c>
      <c r="B655" s="209"/>
      <c r="C655" s="210"/>
      <c r="D655" s="209"/>
      <c r="E655" s="210"/>
      <c r="F655" s="208"/>
      <c r="G655" s="208"/>
      <c r="H655" s="208"/>
    </row>
    <row r="656" spans="1:8" hidden="1" x14ac:dyDescent="0.25">
      <c r="A656" s="61" t="str">
        <f t="shared" si="43"/>
        <v>BOJ SEASONED FRIES</v>
      </c>
      <c r="B656" s="209"/>
      <c r="C656" s="210"/>
      <c r="D656" s="209"/>
      <c r="E656" s="210"/>
      <c r="F656" s="208"/>
      <c r="G656" s="208"/>
      <c r="H656" s="208"/>
    </row>
    <row r="657" spans="1:8" hidden="1" x14ac:dyDescent="0.25">
      <c r="A657" s="61" t="str">
        <f t="shared" si="43"/>
        <v>BREAKFAST SANDWICH</v>
      </c>
      <c r="B657" s="209"/>
      <c r="C657" s="210"/>
      <c r="D657" s="209"/>
      <c r="E657" s="210"/>
      <c r="F657" s="208"/>
      <c r="G657" s="208"/>
      <c r="H657" s="208"/>
    </row>
    <row r="658" spans="1:8" hidden="1" x14ac:dyDescent="0.25">
      <c r="A658" s="61" t="str">
        <f t="shared" si="43"/>
        <v>CARVED PRIME RIB SANDWICH</v>
      </c>
      <c r="B658" s="209"/>
      <c r="C658" s="210"/>
      <c r="D658" s="209"/>
      <c r="E658" s="210"/>
      <c r="F658" s="208"/>
      <c r="G658" s="208"/>
      <c r="H658" s="208"/>
    </row>
    <row r="659" spans="1:8" hidden="1" x14ac:dyDescent="0.25">
      <c r="A659" s="61" t="str">
        <f t="shared" si="43"/>
        <v>CARVED TURKEY SANDWICH</v>
      </c>
      <c r="B659" s="209"/>
      <c r="C659" s="210"/>
      <c r="D659" s="209"/>
      <c r="E659" s="210"/>
      <c r="F659" s="208"/>
      <c r="G659" s="208"/>
      <c r="H659" s="208"/>
    </row>
    <row r="660" spans="1:8" hidden="1" x14ac:dyDescent="0.25">
      <c r="A660" s="61" t="str">
        <f t="shared" si="43"/>
        <v>CHEESEBURGER, ALL AMERICAN</v>
      </c>
      <c r="B660" s="209"/>
      <c r="C660" s="210"/>
      <c r="D660" s="209"/>
      <c r="E660" s="210"/>
      <c r="F660" s="208"/>
      <c r="G660" s="208"/>
      <c r="H660" s="208"/>
    </row>
    <row r="661" spans="1:8" hidden="1" x14ac:dyDescent="0.25">
      <c r="A661" s="61" t="str">
        <f t="shared" si="43"/>
        <v>CHEESEBURGER, DOUBLE</v>
      </c>
      <c r="B661" s="209"/>
      <c r="C661" s="210"/>
      <c r="D661" s="209"/>
      <c r="E661" s="210"/>
      <c r="F661" s="208"/>
      <c r="G661" s="208"/>
      <c r="H661" s="208"/>
    </row>
    <row r="662" spans="1:8" hidden="1" x14ac:dyDescent="0.25">
      <c r="A662" s="61" t="str">
        <f t="shared" si="43"/>
        <v>CHEESEBURGER, JALAPENO BACON PEPPERJACK</v>
      </c>
      <c r="B662" s="209"/>
      <c r="C662" s="210"/>
      <c r="D662" s="209"/>
      <c r="E662" s="210"/>
      <c r="F662" s="208"/>
      <c r="G662" s="208"/>
      <c r="H662" s="208"/>
    </row>
    <row r="663" spans="1:8" hidden="1" x14ac:dyDescent="0.25">
      <c r="A663" s="61" t="str">
        <f t="shared" si="43"/>
        <v>CHEESEBURGER, PASTRAMI SWISS</v>
      </c>
      <c r="B663" s="209"/>
      <c r="C663" s="210"/>
      <c r="D663" s="209"/>
      <c r="E663" s="210"/>
      <c r="F663" s="208"/>
      <c r="G663" s="208"/>
      <c r="H663" s="208"/>
    </row>
    <row r="664" spans="1:8" hidden="1" x14ac:dyDescent="0.25">
      <c r="A664" s="61" t="str">
        <f t="shared" si="43"/>
        <v>CHEESEBURGER, SINGLE</v>
      </c>
      <c r="B664" s="209"/>
      <c r="C664" s="210"/>
      <c r="D664" s="209"/>
      <c r="E664" s="210"/>
      <c r="F664" s="208"/>
      <c r="G664" s="208"/>
      <c r="H664" s="208"/>
    </row>
    <row r="665" spans="1:8" hidden="1" x14ac:dyDescent="0.25">
      <c r="A665" s="61" t="str">
        <f t="shared" si="43"/>
        <v>CHEESESTEAK, CHICKEN</v>
      </c>
      <c r="B665" s="209"/>
      <c r="C665" s="210"/>
      <c r="D665" s="209"/>
      <c r="E665" s="210"/>
      <c r="F665" s="208"/>
      <c r="G665" s="208"/>
      <c r="H665" s="208"/>
    </row>
    <row r="666" spans="1:8" hidden="1" x14ac:dyDescent="0.25">
      <c r="A666" s="61" t="str">
        <f t="shared" si="43"/>
        <v>CHEESESTEAK, CHICKEN</v>
      </c>
      <c r="B666" s="209"/>
      <c r="C666" s="210"/>
      <c r="D666" s="209"/>
      <c r="E666" s="210"/>
      <c r="F666" s="208"/>
      <c r="G666" s="208"/>
      <c r="H666" s="208"/>
    </row>
    <row r="667" spans="1:8" hidden="1" x14ac:dyDescent="0.25">
      <c r="A667" s="61" t="str">
        <f t="shared" si="43"/>
        <v>CHEESESTEAK, CREATE YOUR OWN</v>
      </c>
      <c r="B667" s="209"/>
      <c r="C667" s="210"/>
      <c r="D667" s="209"/>
      <c r="E667" s="210"/>
      <c r="F667" s="208"/>
      <c r="G667" s="208"/>
      <c r="H667" s="208"/>
    </row>
    <row r="668" spans="1:8" hidden="1" x14ac:dyDescent="0.25">
      <c r="A668" s="61" t="str">
        <f t="shared" si="43"/>
        <v>CHEESESTEAK, CREATE YOUR OWN</v>
      </c>
      <c r="B668" s="209"/>
      <c r="C668" s="210"/>
      <c r="D668" s="209"/>
      <c r="E668" s="210"/>
      <c r="F668" s="208"/>
      <c r="G668" s="208"/>
      <c r="H668" s="208"/>
    </row>
    <row r="669" spans="1:8" hidden="1" x14ac:dyDescent="0.25">
      <c r="A669" s="61" t="str">
        <f t="shared" si="43"/>
        <v>CHEESESTEAK, PHILLY</v>
      </c>
      <c r="B669" s="209"/>
      <c r="C669" s="210"/>
      <c r="D669" s="209"/>
      <c r="E669" s="210"/>
      <c r="F669" s="208"/>
      <c r="G669" s="208"/>
      <c r="H669" s="208"/>
    </row>
    <row r="670" spans="1:8" hidden="1" x14ac:dyDescent="0.25">
      <c r="A670" s="61" t="str">
        <f t="shared" si="43"/>
        <v>CHEESESTEAK, PHILLY</v>
      </c>
      <c r="B670" s="209"/>
      <c r="C670" s="210"/>
      <c r="D670" s="209"/>
      <c r="E670" s="210"/>
      <c r="F670" s="208"/>
      <c r="G670" s="208"/>
      <c r="H670" s="208"/>
    </row>
    <row r="671" spans="1:8" hidden="1" x14ac:dyDescent="0.25">
      <c r="A671" s="61" t="str">
        <f t="shared" si="43"/>
        <v>CHEESESTEAK, TRADITIONAL</v>
      </c>
      <c r="B671" s="209"/>
      <c r="C671" s="210"/>
      <c r="D671" s="209"/>
      <c r="E671" s="210"/>
      <c r="F671" s="208"/>
      <c r="G671" s="208"/>
      <c r="H671" s="208"/>
    </row>
    <row r="672" spans="1:8" hidden="1" x14ac:dyDescent="0.25">
      <c r="A672" s="61" t="str">
        <f t="shared" si="43"/>
        <v>CHEESESTEAK, TRADITIONAL</v>
      </c>
      <c r="B672" s="209"/>
      <c r="C672" s="210"/>
      <c r="D672" s="209"/>
      <c r="E672" s="210"/>
      <c r="F672" s="208"/>
      <c r="G672" s="208"/>
      <c r="H672" s="208"/>
    </row>
    <row r="673" spans="1:8" hidden="1" x14ac:dyDescent="0.25">
      <c r="A673" s="61" t="str">
        <f t="shared" si="43"/>
        <v>CHEESESTEAK, VEGGIE</v>
      </c>
      <c r="B673" s="209"/>
      <c r="C673" s="210"/>
      <c r="D673" s="209"/>
      <c r="E673" s="210"/>
      <c r="F673" s="208"/>
      <c r="G673" s="208"/>
      <c r="H673" s="208"/>
    </row>
    <row r="674" spans="1:8" hidden="1" x14ac:dyDescent="0.25">
      <c r="A674" s="61" t="str">
        <f t="shared" si="43"/>
        <v>CHEESESTEAK, VEGGIE</v>
      </c>
      <c r="B674" s="209"/>
      <c r="C674" s="210"/>
      <c r="D674" s="209"/>
      <c r="E674" s="210"/>
      <c r="F674" s="208"/>
      <c r="G674" s="208"/>
      <c r="H674" s="208"/>
    </row>
    <row r="675" spans="1:8" hidden="1" x14ac:dyDescent="0.25">
      <c r="A675" s="61" t="str">
        <f t="shared" si="43"/>
        <v>CHICKEN TENTERS/WINGS/BONELESS (SAUCED)</v>
      </c>
      <c r="B675" s="209"/>
      <c r="C675" s="210"/>
      <c r="D675" s="209"/>
      <c r="E675" s="210"/>
      <c r="F675" s="208"/>
      <c r="G675" s="208"/>
      <c r="H675" s="208"/>
    </row>
    <row r="676" spans="1:8" hidden="1" x14ac:dyDescent="0.25">
      <c r="A676" s="61" t="str">
        <f t="shared" si="43"/>
        <v>CHICKEN, GRILLED SANDWICH</v>
      </c>
      <c r="B676" s="209"/>
      <c r="C676" s="210"/>
      <c r="D676" s="209"/>
      <c r="E676" s="210"/>
      <c r="F676" s="208"/>
      <c r="G676" s="208"/>
      <c r="H676" s="208"/>
    </row>
    <row r="677" spans="1:8" hidden="1" x14ac:dyDescent="0.25">
      <c r="A677" s="61" t="str">
        <f t="shared" si="43"/>
        <v>CHICKEN, TENDERS W/FRIES</v>
      </c>
      <c r="B677" s="209"/>
      <c r="C677" s="210"/>
      <c r="D677" s="209"/>
      <c r="E677" s="210"/>
      <c r="F677" s="208"/>
      <c r="G677" s="208"/>
      <c r="H677" s="208"/>
    </row>
    <row r="678" spans="1:8" hidden="1" x14ac:dyDescent="0.25">
      <c r="A678" s="61" t="str">
        <f t="shared" si="43"/>
        <v>FOOTLONG CORN DOG</v>
      </c>
      <c r="B678" s="209"/>
      <c r="C678" s="210"/>
      <c r="D678" s="209"/>
      <c r="E678" s="210"/>
      <c r="F678" s="208"/>
      <c r="G678" s="208"/>
      <c r="H678" s="208"/>
    </row>
    <row r="679" spans="1:8" hidden="1" x14ac:dyDescent="0.25">
      <c r="A679" s="61" t="str">
        <f t="shared" si="43"/>
        <v>FRIES, COMBO/VALUE</v>
      </c>
      <c r="B679" s="209"/>
      <c r="C679" s="210"/>
      <c r="D679" s="209"/>
      <c r="E679" s="210"/>
      <c r="F679" s="208"/>
      <c r="G679" s="208"/>
      <c r="H679" s="208"/>
    </row>
    <row r="680" spans="1:8" hidden="1" x14ac:dyDescent="0.25">
      <c r="A680" s="61" t="str">
        <f t="shared" si="43"/>
        <v>FRIES, JUMBO</v>
      </c>
      <c r="B680" s="209"/>
      <c r="C680" s="210"/>
      <c r="D680" s="209"/>
      <c r="E680" s="210"/>
      <c r="F680" s="208"/>
      <c r="G680" s="208"/>
      <c r="H680" s="208"/>
    </row>
    <row r="681" spans="1:8" hidden="1" x14ac:dyDescent="0.25">
      <c r="A681" s="61" t="str">
        <f t="shared" ref="A681:A712" si="44">A39</f>
        <v>FRIES, REGULAR</v>
      </c>
      <c r="B681" s="209"/>
      <c r="C681" s="210"/>
      <c r="D681" s="209"/>
      <c r="E681" s="210"/>
      <c r="F681" s="208"/>
      <c r="G681" s="208"/>
      <c r="H681" s="208"/>
    </row>
    <row r="682" spans="1:8" hidden="1" x14ac:dyDescent="0.25">
      <c r="A682" s="61" t="str">
        <f t="shared" si="44"/>
        <v>GRILLED CHEESE, CLASSIC</v>
      </c>
      <c r="B682" s="209"/>
      <c r="C682" s="210"/>
      <c r="D682" s="209"/>
      <c r="E682" s="210"/>
      <c r="F682" s="208"/>
      <c r="G682" s="208"/>
      <c r="H682" s="208"/>
    </row>
    <row r="683" spans="1:8" hidden="1" x14ac:dyDescent="0.25">
      <c r="A683" s="61" t="str">
        <f t="shared" si="44"/>
        <v>GRILLED CHEESE, CLASSIC</v>
      </c>
      <c r="B683" s="209"/>
      <c r="C683" s="210"/>
      <c r="D683" s="209"/>
      <c r="E683" s="210"/>
      <c r="F683" s="208"/>
      <c r="G683" s="208"/>
      <c r="H683" s="208"/>
    </row>
    <row r="684" spans="1:8" hidden="1" x14ac:dyDescent="0.25">
      <c r="A684" s="61" t="str">
        <f t="shared" si="44"/>
        <v>GRILLED CHEESE, FOUR CHEESE</v>
      </c>
      <c r="B684" s="209"/>
      <c r="C684" s="210"/>
      <c r="D684" s="209"/>
      <c r="E684" s="210"/>
      <c r="F684" s="208"/>
      <c r="G684" s="208"/>
      <c r="H684" s="208"/>
    </row>
    <row r="685" spans="1:8" hidden="1" x14ac:dyDescent="0.25">
      <c r="A685" s="61" t="str">
        <f t="shared" si="44"/>
        <v>GRILLED CHEESE, FOUR CHEESE</v>
      </c>
      <c r="B685" s="209"/>
      <c r="C685" s="210"/>
      <c r="D685" s="209"/>
      <c r="E685" s="210"/>
      <c r="F685" s="208"/>
      <c r="G685" s="208"/>
      <c r="H685" s="208"/>
    </row>
    <row r="686" spans="1:8" hidden="1" x14ac:dyDescent="0.25">
      <c r="A686" s="61" t="str">
        <f t="shared" si="44"/>
        <v>GRILLED CHEESE, TOMATO PESTO</v>
      </c>
      <c r="B686" s="209"/>
      <c r="C686" s="210"/>
      <c r="D686" s="209"/>
      <c r="E686" s="210"/>
      <c r="F686" s="208"/>
      <c r="G686" s="208"/>
      <c r="H686" s="208"/>
    </row>
    <row r="687" spans="1:8" hidden="1" x14ac:dyDescent="0.25">
      <c r="A687" s="61" t="str">
        <f t="shared" si="44"/>
        <v>GRILLED CHEESE, TOMATO PESTO</v>
      </c>
      <c r="B687" s="209"/>
      <c r="C687" s="210"/>
      <c r="D687" s="209"/>
      <c r="E687" s="210"/>
      <c r="F687" s="208"/>
      <c r="G687" s="208"/>
      <c r="H687" s="208"/>
    </row>
    <row r="688" spans="1:8" hidden="1" x14ac:dyDescent="0.25">
      <c r="A688" s="61" t="str">
        <f t="shared" si="44"/>
        <v>GRILLED CHEESE, TRIPLE DECKER</v>
      </c>
      <c r="B688" s="209"/>
      <c r="C688" s="210"/>
      <c r="D688" s="209"/>
      <c r="E688" s="210"/>
      <c r="F688" s="208"/>
      <c r="G688" s="208"/>
      <c r="H688" s="208"/>
    </row>
    <row r="689" spans="1:8" hidden="1" x14ac:dyDescent="0.25">
      <c r="A689" s="61" t="str">
        <f t="shared" si="44"/>
        <v>GRILLED CHEESE, TRIPLE DECKER</v>
      </c>
      <c r="B689" s="209"/>
      <c r="C689" s="210"/>
      <c r="D689" s="209"/>
      <c r="E689" s="210"/>
      <c r="F689" s="208"/>
      <c r="G689" s="208"/>
      <c r="H689" s="208"/>
    </row>
    <row r="690" spans="1:8" hidden="1" x14ac:dyDescent="0.25">
      <c r="A690" s="61" t="str">
        <f t="shared" si="44"/>
        <v>HOT DOG, 2/1 DAYTONA SPDWY/HALF LB.</v>
      </c>
      <c r="B690" s="209"/>
      <c r="C690" s="210"/>
      <c r="D690" s="209"/>
      <c r="E690" s="210"/>
      <c r="F690" s="208"/>
      <c r="G690" s="208"/>
      <c r="H690" s="208"/>
    </row>
    <row r="691" spans="1:8" hidden="1" x14ac:dyDescent="0.25">
      <c r="A691" s="61" t="str">
        <f t="shared" si="44"/>
        <v>HOT DOG, 2/1 SPECIALTY/FIRECRACKER</v>
      </c>
      <c r="B691" s="209"/>
      <c r="C691" s="210"/>
      <c r="D691" s="209"/>
      <c r="E691" s="210"/>
      <c r="F691" s="208"/>
      <c r="G691" s="208"/>
      <c r="H691" s="208"/>
    </row>
    <row r="692" spans="1:8" hidden="1" x14ac:dyDescent="0.25">
      <c r="A692" s="61" t="str">
        <f t="shared" si="44"/>
        <v>HOT DOG, 6/1</v>
      </c>
      <c r="B692" s="209"/>
      <c r="C692" s="210"/>
      <c r="D692" s="209"/>
      <c r="E692" s="210"/>
      <c r="F692" s="208"/>
      <c r="G692" s="208"/>
      <c r="H692" s="208"/>
    </row>
    <row r="693" spans="1:8" hidden="1" x14ac:dyDescent="0.25">
      <c r="A693" s="61" t="str">
        <f t="shared" si="44"/>
        <v>HOT DOG, 6/1 BILL FRANCE</v>
      </c>
      <c r="B693" s="209"/>
      <c r="C693" s="210"/>
      <c r="D693" s="209"/>
      <c r="E693" s="210"/>
      <c r="F693" s="208"/>
      <c r="G693" s="208"/>
      <c r="H693" s="208"/>
    </row>
    <row r="694" spans="1:8" hidden="1" x14ac:dyDescent="0.25">
      <c r="A694" s="61" t="str">
        <f t="shared" si="44"/>
        <v>HOT DOG, 6/1 CHILI CHEESE</v>
      </c>
      <c r="B694" s="209"/>
      <c r="C694" s="210"/>
      <c r="D694" s="209"/>
      <c r="E694" s="210"/>
      <c r="F694" s="208"/>
      <c r="G694" s="208"/>
      <c r="H694" s="208"/>
    </row>
    <row r="695" spans="1:8" hidden="1" x14ac:dyDescent="0.25">
      <c r="A695" s="61" t="str">
        <f t="shared" si="44"/>
        <v>HOT DOG, 6/1 FIRECRACKER</v>
      </c>
      <c r="B695" s="209"/>
      <c r="C695" s="210"/>
      <c r="D695" s="209"/>
      <c r="E695" s="210"/>
      <c r="F695" s="208"/>
      <c r="G695" s="208"/>
      <c r="H695" s="208"/>
    </row>
    <row r="696" spans="1:8" hidden="1" x14ac:dyDescent="0.25">
      <c r="A696" s="61" t="str">
        <f t="shared" si="44"/>
        <v>HOT DOG, 6/1 FIRECRACKER</v>
      </c>
      <c r="B696" s="209"/>
      <c r="C696" s="210"/>
      <c r="D696" s="209"/>
      <c r="E696" s="210"/>
      <c r="F696" s="208"/>
      <c r="G696" s="208"/>
      <c r="H696" s="208"/>
    </row>
    <row r="697" spans="1:8" hidden="1" x14ac:dyDescent="0.25">
      <c r="A697" s="61" t="str">
        <f t="shared" si="44"/>
        <v>HOT DOG, 6/1 GREEK</v>
      </c>
      <c r="B697" s="209"/>
      <c r="C697" s="210"/>
      <c r="D697" s="209"/>
      <c r="E697" s="210"/>
      <c r="F697" s="208"/>
      <c r="G697" s="208"/>
      <c r="H697" s="208"/>
    </row>
    <row r="698" spans="1:8" hidden="1" x14ac:dyDescent="0.25">
      <c r="A698" s="61" t="str">
        <f t="shared" si="44"/>
        <v>HOT DOG, 6/1 SPECIALTY</v>
      </c>
      <c r="B698" s="209"/>
      <c r="C698" s="210"/>
      <c r="D698" s="209"/>
      <c r="E698" s="210"/>
      <c r="F698" s="208"/>
      <c r="G698" s="208"/>
      <c r="H698" s="208"/>
    </row>
    <row r="699" spans="1:8" hidden="1" x14ac:dyDescent="0.25">
      <c r="A699" s="61" t="str">
        <f t="shared" si="44"/>
        <v>HOT DOG, 6/1 SPECIALTY</v>
      </c>
      <c r="B699" s="209"/>
      <c r="C699" s="210"/>
      <c r="D699" s="209"/>
      <c r="E699" s="210"/>
      <c r="F699" s="208"/>
      <c r="G699" s="208"/>
      <c r="H699" s="208"/>
    </row>
    <row r="700" spans="1:8" hidden="1" x14ac:dyDescent="0.25">
      <c r="A700" s="61" t="str">
        <f t="shared" si="44"/>
        <v>HOT DOG, 6/1 TACHO</v>
      </c>
      <c r="B700" s="209"/>
      <c r="C700" s="210"/>
      <c r="D700" s="209"/>
      <c r="E700" s="210"/>
      <c r="F700" s="208"/>
      <c r="G700" s="208"/>
      <c r="H700" s="208"/>
    </row>
    <row r="701" spans="1:8" hidden="1" x14ac:dyDescent="0.25">
      <c r="A701" s="61" t="str">
        <f t="shared" si="44"/>
        <v>HOT DOG, BILL FRANCE</v>
      </c>
      <c r="B701" s="209"/>
      <c r="C701" s="210"/>
      <c r="D701" s="209"/>
      <c r="E701" s="210"/>
      <c r="F701" s="208"/>
      <c r="G701" s="208"/>
      <c r="H701" s="208"/>
    </row>
    <row r="702" spans="1:8" hidden="1" x14ac:dyDescent="0.25">
      <c r="A702" s="61" t="str">
        <f t="shared" si="44"/>
        <v>HOT DOG, GREEK</v>
      </c>
      <c r="B702" s="209"/>
      <c r="C702" s="210"/>
      <c r="D702" s="209"/>
      <c r="E702" s="210"/>
      <c r="F702" s="208"/>
      <c r="G702" s="208"/>
      <c r="H702" s="208"/>
    </row>
    <row r="703" spans="1:8" hidden="1" x14ac:dyDescent="0.25">
      <c r="A703" s="61" t="str">
        <f t="shared" si="44"/>
        <v>HOT DOG, TACHO</v>
      </c>
      <c r="B703" s="209"/>
      <c r="C703" s="210"/>
      <c r="D703" s="209"/>
      <c r="E703" s="210"/>
      <c r="F703" s="208"/>
      <c r="G703" s="208"/>
      <c r="H703" s="208"/>
    </row>
    <row r="704" spans="1:8" hidden="1" x14ac:dyDescent="0.25">
      <c r="A704" s="61" t="str">
        <f t="shared" si="44"/>
        <v>KIDS MEAL</v>
      </c>
      <c r="B704" s="209"/>
      <c r="C704" s="210"/>
      <c r="D704" s="209"/>
      <c r="E704" s="210"/>
      <c r="F704" s="208"/>
      <c r="G704" s="208"/>
      <c r="H704" s="208"/>
    </row>
    <row r="705" spans="1:8" hidden="1" x14ac:dyDescent="0.25">
      <c r="A705" s="61" t="str">
        <f t="shared" si="44"/>
        <v>ONION RINGS</v>
      </c>
      <c r="B705" s="209"/>
      <c r="C705" s="210"/>
      <c r="D705" s="209"/>
      <c r="E705" s="210"/>
      <c r="F705" s="208"/>
      <c r="G705" s="208"/>
      <c r="H705" s="208"/>
    </row>
    <row r="706" spans="1:8" hidden="1" x14ac:dyDescent="0.25">
      <c r="A706" s="61" t="str">
        <f t="shared" si="44"/>
        <v>PANINI ($8 PER SANDWICH =@ $4 PER BREAD SLICE)</v>
      </c>
      <c r="B706" s="209"/>
      <c r="C706" s="210"/>
      <c r="D706" s="209"/>
      <c r="E706" s="210"/>
      <c r="F706" s="208"/>
      <c r="G706" s="208"/>
      <c r="H706" s="208"/>
    </row>
    <row r="707" spans="1:8" hidden="1" x14ac:dyDescent="0.25">
      <c r="A707" s="61" t="str">
        <f t="shared" si="44"/>
        <v>PANINI, MARGHERITA</v>
      </c>
      <c r="B707" s="209"/>
      <c r="C707" s="210"/>
      <c r="D707" s="209"/>
      <c r="E707" s="210"/>
      <c r="F707" s="208"/>
      <c r="G707" s="208"/>
      <c r="H707" s="208"/>
    </row>
    <row r="708" spans="1:8" hidden="1" x14ac:dyDescent="0.25">
      <c r="A708" s="61" t="str">
        <f t="shared" si="44"/>
        <v>PANINI, MARGHERITA</v>
      </c>
      <c r="B708" s="209"/>
      <c r="C708" s="210"/>
      <c r="D708" s="209"/>
      <c r="E708" s="210"/>
      <c r="F708" s="208"/>
      <c r="G708" s="208"/>
      <c r="H708" s="208"/>
    </row>
    <row r="709" spans="1:8" hidden="1" x14ac:dyDescent="0.25">
      <c r="A709" s="61" t="str">
        <f t="shared" si="44"/>
        <v>PANINI, PESTO CHICKEN</v>
      </c>
      <c r="B709" s="209"/>
      <c r="C709" s="210"/>
      <c r="D709" s="209"/>
      <c r="E709" s="210"/>
      <c r="F709" s="208"/>
      <c r="G709" s="208"/>
      <c r="H709" s="208"/>
    </row>
    <row r="710" spans="1:8" hidden="1" x14ac:dyDescent="0.25">
      <c r="A710" s="61" t="str">
        <f t="shared" si="44"/>
        <v>PANINI, PESTO CHICKEN</v>
      </c>
      <c r="B710" s="209"/>
      <c r="C710" s="210"/>
      <c r="D710" s="209"/>
      <c r="E710" s="210"/>
      <c r="F710" s="208"/>
      <c r="G710" s="208"/>
      <c r="H710" s="208"/>
    </row>
    <row r="711" spans="1:8" hidden="1" x14ac:dyDescent="0.25">
      <c r="A711" s="61" t="str">
        <f t="shared" si="44"/>
        <v>PANINI, PIZZA</v>
      </c>
      <c r="B711" s="209"/>
      <c r="C711" s="210"/>
      <c r="D711" s="209"/>
      <c r="E711" s="210"/>
      <c r="F711" s="208"/>
      <c r="G711" s="208"/>
      <c r="H711" s="208"/>
    </row>
    <row r="712" spans="1:8" hidden="1" x14ac:dyDescent="0.25">
      <c r="A712" s="61" t="str">
        <f t="shared" si="44"/>
        <v>PANINI, PIZZA</v>
      </c>
      <c r="B712" s="209"/>
      <c r="C712" s="210"/>
      <c r="D712" s="209"/>
      <c r="E712" s="210"/>
      <c r="F712" s="208"/>
      <c r="G712" s="208"/>
      <c r="H712" s="208"/>
    </row>
    <row r="713" spans="1:8" hidden="1" x14ac:dyDescent="0.25">
      <c r="A713" s="61" t="str">
        <f t="shared" ref="A713:A730" si="45">A100</f>
        <v>SNACK ITEMS</v>
      </c>
      <c r="B713" s="209"/>
      <c r="C713" s="210"/>
      <c r="D713" s="209"/>
      <c r="E713" s="210"/>
      <c r="F713" s="208"/>
      <c r="G713" s="208"/>
      <c r="H713" s="208"/>
    </row>
    <row r="714" spans="1:8" hidden="1" x14ac:dyDescent="0.25">
      <c r="A714" s="61" t="str">
        <f t="shared" si="45"/>
        <v>CANDY</v>
      </c>
      <c r="B714" s="209"/>
      <c r="C714" s="210"/>
      <c r="D714" s="209"/>
      <c r="E714" s="210"/>
      <c r="F714" s="208"/>
      <c r="G714" s="208"/>
      <c r="H714" s="208"/>
    </row>
    <row r="715" spans="1:8" hidden="1" x14ac:dyDescent="0.25">
      <c r="A715" s="61" t="str">
        <f t="shared" si="45"/>
        <v xml:space="preserve">CHIPS  </v>
      </c>
      <c r="B715" s="344"/>
      <c r="C715" s="345"/>
      <c r="D715" s="344"/>
      <c r="E715" s="345"/>
      <c r="F715" s="208"/>
      <c r="G715" s="208"/>
      <c r="H715" s="208"/>
    </row>
    <row r="716" spans="1:8" hidden="1" x14ac:dyDescent="0.25">
      <c r="A716" s="61" t="str">
        <f t="shared" si="45"/>
        <v>COOKIES</v>
      </c>
      <c r="B716" s="344"/>
      <c r="C716" s="345"/>
      <c r="D716" s="344"/>
      <c r="E716" s="345"/>
      <c r="F716" s="208"/>
      <c r="G716" s="208"/>
      <c r="H716" s="208"/>
    </row>
    <row r="717" spans="1:8" hidden="1" x14ac:dyDescent="0.25">
      <c r="A717" s="61" t="str">
        <f t="shared" si="45"/>
        <v>NACHOS, GRANDE</v>
      </c>
      <c r="B717" s="344"/>
      <c r="C717" s="345"/>
      <c r="D717" s="344"/>
      <c r="E717" s="345"/>
      <c r="F717" s="208"/>
      <c r="G717" s="208"/>
      <c r="H717" s="208"/>
    </row>
    <row r="718" spans="1:8" hidden="1" x14ac:dyDescent="0.25">
      <c r="A718" s="61" t="str">
        <f t="shared" si="45"/>
        <v>NACHOS, REGULAR W/CHEESE</v>
      </c>
      <c r="B718" s="344"/>
      <c r="C718" s="345"/>
      <c r="D718" s="344"/>
      <c r="E718" s="345"/>
      <c r="F718" s="208"/>
      <c r="G718" s="208"/>
      <c r="H718" s="208"/>
    </row>
    <row r="719" spans="1:8" hidden="1" x14ac:dyDescent="0.25">
      <c r="A719" s="61" t="str">
        <f t="shared" si="45"/>
        <v>NACHOS, TACO</v>
      </c>
      <c r="B719" s="344"/>
      <c r="C719" s="345"/>
      <c r="D719" s="344"/>
      <c r="E719" s="345"/>
      <c r="F719" s="208"/>
      <c r="G719" s="208"/>
      <c r="H719" s="208"/>
    </row>
    <row r="720" spans="1:8" hidden="1" x14ac:dyDescent="0.25">
      <c r="A720" s="61" t="str">
        <f t="shared" si="45"/>
        <v>NACHOS, ULTIMATE</v>
      </c>
      <c r="B720" s="344"/>
      <c r="C720" s="345"/>
      <c r="D720" s="344"/>
      <c r="E720" s="345"/>
      <c r="F720" s="208"/>
      <c r="G720" s="208"/>
      <c r="H720" s="208"/>
    </row>
    <row r="721" spans="1:8" hidden="1" x14ac:dyDescent="0.25">
      <c r="A721" s="61" t="str">
        <f t="shared" si="45"/>
        <v>PEANUTS</v>
      </c>
      <c r="B721" s="344"/>
      <c r="C721" s="345"/>
      <c r="D721" s="344"/>
      <c r="E721" s="345"/>
      <c r="F721" s="208"/>
      <c r="G721" s="208"/>
      <c r="H721" s="208"/>
    </row>
    <row r="722" spans="1:8" hidden="1" x14ac:dyDescent="0.25">
      <c r="A722" s="61" t="str">
        <f t="shared" si="45"/>
        <v>POPCORN</v>
      </c>
      <c r="B722" s="344"/>
      <c r="C722" s="345"/>
      <c r="D722" s="344"/>
      <c r="E722" s="345"/>
      <c r="F722" s="208"/>
      <c r="G722" s="208"/>
      <c r="H722" s="208"/>
    </row>
    <row r="723" spans="1:8" hidden="1" x14ac:dyDescent="0.25">
      <c r="A723" s="61" t="str">
        <f t="shared" si="45"/>
        <v>POPCORN, FRESH</v>
      </c>
      <c r="B723" s="344"/>
      <c r="C723" s="345"/>
      <c r="D723" s="344"/>
      <c r="E723" s="345"/>
      <c r="F723" s="208"/>
      <c r="G723" s="208"/>
      <c r="H723" s="208"/>
    </row>
    <row r="724" spans="1:8" hidden="1" x14ac:dyDescent="0.25">
      <c r="A724" s="61" t="str">
        <f t="shared" si="45"/>
        <v>PRETZEL</v>
      </c>
      <c r="B724" s="344"/>
      <c r="C724" s="345"/>
      <c r="D724" s="344"/>
      <c r="E724" s="345"/>
      <c r="F724" s="208"/>
      <c r="G724" s="208"/>
      <c r="H724" s="208"/>
    </row>
    <row r="725" spans="1:8" hidden="1" x14ac:dyDescent="0.25">
      <c r="A725" s="61" t="str">
        <f t="shared" si="45"/>
        <v>PRETZEL CHEESE CUP</v>
      </c>
      <c r="B725" s="344"/>
      <c r="C725" s="345"/>
      <c r="D725" s="344"/>
      <c r="E725" s="345"/>
      <c r="F725" s="208"/>
      <c r="G725" s="208"/>
      <c r="H725" s="208"/>
    </row>
    <row r="726" spans="1:8" hidden="1" x14ac:dyDescent="0.25">
      <c r="A726" s="61">
        <f t="shared" si="45"/>
        <v>0</v>
      </c>
      <c r="B726" s="344"/>
      <c r="C726" s="345"/>
      <c r="D726" s="344"/>
      <c r="E726" s="345"/>
      <c r="F726" s="208"/>
      <c r="G726" s="208"/>
      <c r="H726" s="208"/>
    </row>
    <row r="727" spans="1:8" hidden="1" x14ac:dyDescent="0.25">
      <c r="A727" s="61">
        <f t="shared" si="45"/>
        <v>0</v>
      </c>
      <c r="B727" s="344"/>
      <c r="C727" s="345"/>
      <c r="D727" s="344"/>
      <c r="E727" s="345"/>
      <c r="F727" s="208"/>
      <c r="G727" s="208"/>
      <c r="H727" s="208"/>
    </row>
    <row r="728" spans="1:8" hidden="1" x14ac:dyDescent="0.25">
      <c r="A728" s="61">
        <f t="shared" si="45"/>
        <v>0</v>
      </c>
      <c r="B728" s="344"/>
      <c r="C728" s="345"/>
      <c r="D728" s="344"/>
      <c r="E728" s="345"/>
      <c r="F728" s="208"/>
      <c r="G728" s="208"/>
      <c r="H728" s="208"/>
    </row>
    <row r="729" spans="1:8" hidden="1" x14ac:dyDescent="0.25">
      <c r="A729" s="61">
        <f t="shared" si="45"/>
        <v>0</v>
      </c>
      <c r="B729" s="344"/>
      <c r="C729" s="345"/>
      <c r="D729" s="344"/>
      <c r="E729" s="345"/>
      <c r="F729" s="208"/>
      <c r="G729" s="208"/>
      <c r="H729" s="208"/>
    </row>
    <row r="730" spans="1:8" hidden="1" x14ac:dyDescent="0.25">
      <c r="A730" s="61">
        <f t="shared" si="45"/>
        <v>0</v>
      </c>
      <c r="B730" s="344"/>
      <c r="C730" s="345"/>
      <c r="D730" s="344"/>
      <c r="E730" s="345"/>
      <c r="F730" s="208"/>
      <c r="G730" s="208"/>
      <c r="H730" s="208"/>
    </row>
    <row r="731" spans="1:8" hidden="1" x14ac:dyDescent="0.25">
      <c r="A731" s="61" t="str">
        <f t="shared" ref="A731:A772" si="46">A130</f>
        <v>BEVERAGE ITEMS</v>
      </c>
      <c r="B731" s="344"/>
      <c r="C731" s="345"/>
      <c r="D731" s="344"/>
      <c r="E731" s="345"/>
      <c r="F731" s="208"/>
      <c r="G731" s="208"/>
      <c r="H731" s="208"/>
    </row>
    <row r="732" spans="1:8" hidden="1" x14ac:dyDescent="0.25">
      <c r="A732" s="61" t="str">
        <f t="shared" si="46"/>
        <v>WATER 20OZ</v>
      </c>
      <c r="B732" s="344"/>
      <c r="C732" s="345"/>
      <c r="D732" s="344"/>
      <c r="E732" s="345"/>
      <c r="F732" s="208"/>
      <c r="G732" s="208"/>
      <c r="H732" s="208"/>
    </row>
    <row r="733" spans="1:8" hidden="1" x14ac:dyDescent="0.25">
      <c r="A733" s="61" t="str">
        <f t="shared" si="46"/>
        <v>COKE</v>
      </c>
      <c r="B733" s="344"/>
      <c r="C733" s="345"/>
      <c r="D733" s="344"/>
      <c r="E733" s="345"/>
      <c r="F733" s="208"/>
      <c r="G733" s="208"/>
      <c r="H733" s="208"/>
    </row>
    <row r="734" spans="1:8" hidden="1" x14ac:dyDescent="0.25">
      <c r="A734" s="61" t="str">
        <f t="shared" si="46"/>
        <v>DIET</v>
      </c>
      <c r="B734" s="344"/>
      <c r="C734" s="345"/>
      <c r="D734" s="344"/>
      <c r="E734" s="345"/>
      <c r="F734" s="208"/>
      <c r="G734" s="208"/>
      <c r="H734" s="208"/>
    </row>
    <row r="735" spans="1:8" hidden="1" x14ac:dyDescent="0.25">
      <c r="A735" s="61" t="str">
        <f t="shared" si="46"/>
        <v>SPRITE</v>
      </c>
      <c r="B735" s="344"/>
      <c r="C735" s="345"/>
      <c r="D735" s="344"/>
      <c r="E735" s="345"/>
      <c r="F735" s="208"/>
      <c r="G735" s="208"/>
      <c r="H735" s="208"/>
    </row>
    <row r="736" spans="1:8" hidden="1" x14ac:dyDescent="0.25">
      <c r="A736" s="61" t="str">
        <f t="shared" si="46"/>
        <v>ZERO</v>
      </c>
      <c r="B736" s="344"/>
      <c r="C736" s="345"/>
      <c r="D736" s="344"/>
      <c r="E736" s="345"/>
      <c r="F736" s="208"/>
      <c r="G736" s="208"/>
      <c r="H736" s="208"/>
    </row>
    <row r="737" spans="1:8" hidden="1" x14ac:dyDescent="0.25">
      <c r="A737" s="61" t="str">
        <f t="shared" si="46"/>
        <v>MELLO YELLO</v>
      </c>
      <c r="B737" s="344"/>
      <c r="C737" s="345"/>
      <c r="D737" s="344"/>
      <c r="E737" s="345"/>
      <c r="F737" s="208"/>
      <c r="G737" s="208"/>
      <c r="H737" s="208"/>
    </row>
    <row r="738" spans="1:8" hidden="1" x14ac:dyDescent="0.25">
      <c r="A738" s="61" t="str">
        <f t="shared" si="46"/>
        <v xml:space="preserve">GATORADE </v>
      </c>
      <c r="B738" s="344"/>
      <c r="C738" s="345"/>
      <c r="D738" s="344"/>
      <c r="E738" s="345"/>
      <c r="F738" s="208"/>
      <c r="G738" s="208"/>
      <c r="H738" s="208"/>
    </row>
    <row r="739" spans="1:8" hidden="1" x14ac:dyDescent="0.25">
      <c r="A739" s="61" t="str">
        <f t="shared" si="46"/>
        <v>FULL THROTTLE</v>
      </c>
      <c r="B739" s="344"/>
      <c r="C739" s="345"/>
      <c r="D739" s="344"/>
      <c r="E739" s="345"/>
      <c r="F739" s="208"/>
      <c r="G739" s="208"/>
      <c r="H739" s="208"/>
    </row>
    <row r="740" spans="1:8" hidden="1" x14ac:dyDescent="0.25">
      <c r="A740" s="61" t="str">
        <f t="shared" si="46"/>
        <v>SOUV CUP OF ICE</v>
      </c>
      <c r="B740" s="344"/>
      <c r="C740" s="345"/>
      <c r="D740" s="344"/>
      <c r="E740" s="345"/>
      <c r="F740" s="208"/>
      <c r="G740" s="208"/>
      <c r="H740" s="208"/>
    </row>
    <row r="741" spans="1:8" hidden="1" x14ac:dyDescent="0.25">
      <c r="A741" s="61" t="str">
        <f t="shared" si="46"/>
        <v>COFFEE/HOT COCOA</v>
      </c>
      <c r="B741" s="344"/>
      <c r="C741" s="345"/>
      <c r="D741" s="344"/>
      <c r="E741" s="345"/>
      <c r="F741" s="208"/>
      <c r="G741" s="208"/>
      <c r="H741" s="208"/>
    </row>
    <row r="742" spans="1:8" hidden="1" x14ac:dyDescent="0.25">
      <c r="A742" s="61" t="str">
        <f t="shared" si="46"/>
        <v>BOJ ICED TEA</v>
      </c>
      <c r="B742" s="344"/>
      <c r="C742" s="345"/>
      <c r="D742" s="344"/>
      <c r="E742" s="345"/>
      <c r="F742" s="208"/>
      <c r="G742" s="208"/>
      <c r="H742" s="208"/>
    </row>
    <row r="743" spans="1:8" hidden="1" x14ac:dyDescent="0.25">
      <c r="A743" s="61" t="str">
        <f t="shared" si="46"/>
        <v>TEA, SWEET OR UNSWEET</v>
      </c>
      <c r="B743" s="344"/>
      <c r="C743" s="345"/>
      <c r="D743" s="344"/>
      <c r="E743" s="345"/>
      <c r="F743" s="208"/>
      <c r="G743" s="208"/>
      <c r="H743" s="208"/>
    </row>
    <row r="744" spans="1:8" hidden="1" x14ac:dyDescent="0.25">
      <c r="A744" s="61" t="str">
        <f t="shared" si="46"/>
        <v>TERVIS - SODA</v>
      </c>
      <c r="B744" s="344"/>
      <c r="C744" s="345"/>
      <c r="D744" s="344"/>
      <c r="E744" s="345"/>
      <c r="F744" s="208"/>
      <c r="G744" s="208"/>
      <c r="H744" s="208"/>
    </row>
    <row r="745" spans="1:8" hidden="1" x14ac:dyDescent="0.25">
      <c r="A745" s="61">
        <f t="shared" si="46"/>
        <v>0</v>
      </c>
      <c r="B745" s="344"/>
      <c r="C745" s="345"/>
      <c r="D745" s="344"/>
      <c r="E745" s="345"/>
      <c r="F745" s="208"/>
      <c r="G745" s="208"/>
      <c r="H745" s="208"/>
    </row>
    <row r="746" spans="1:8" hidden="1" x14ac:dyDescent="0.25">
      <c r="A746" s="61" t="str">
        <f t="shared" si="46"/>
        <v>ICE</v>
      </c>
      <c r="B746" s="344"/>
      <c r="C746" s="345"/>
      <c r="D746" s="344"/>
      <c r="E746" s="345"/>
      <c r="F746" s="208"/>
      <c r="G746" s="208"/>
      <c r="H746" s="208"/>
    </row>
    <row r="747" spans="1:8" hidden="1" x14ac:dyDescent="0.25">
      <c r="A747" s="61">
        <f t="shared" si="46"/>
        <v>0</v>
      </c>
      <c r="B747" s="344"/>
      <c r="C747" s="345"/>
      <c r="D747" s="344"/>
      <c r="E747" s="345"/>
      <c r="F747" s="208"/>
      <c r="G747" s="208"/>
      <c r="H747" s="208"/>
    </row>
    <row r="748" spans="1:8" hidden="1" x14ac:dyDescent="0.25">
      <c r="A748" s="61">
        <f t="shared" si="46"/>
        <v>0</v>
      </c>
      <c r="B748" s="344"/>
      <c r="C748" s="345"/>
      <c r="D748" s="344"/>
      <c r="E748" s="345"/>
      <c r="F748" s="208"/>
      <c r="G748" s="208"/>
      <c r="H748" s="208"/>
    </row>
    <row r="749" spans="1:8" hidden="1" x14ac:dyDescent="0.25">
      <c r="A749" s="61" t="str">
        <f t="shared" si="46"/>
        <v>ALCOHOL ITEMS</v>
      </c>
      <c r="B749" s="344"/>
      <c r="C749" s="345"/>
      <c r="D749" s="344"/>
      <c r="E749" s="345"/>
      <c r="F749" s="208"/>
      <c r="G749" s="208"/>
      <c r="H749" s="208"/>
    </row>
    <row r="750" spans="1:8" hidden="1" x14ac:dyDescent="0.25">
      <c r="A750" s="61" t="str">
        <f t="shared" si="46"/>
        <v>BEER, BUD</v>
      </c>
      <c r="B750" s="344"/>
      <c r="C750" s="345"/>
      <c r="D750" s="344"/>
      <c r="E750" s="345"/>
      <c r="F750" s="208"/>
      <c r="G750" s="208"/>
      <c r="H750" s="208"/>
    </row>
    <row r="751" spans="1:8" hidden="1" x14ac:dyDescent="0.25">
      <c r="A751" s="61" t="str">
        <f t="shared" si="46"/>
        <v xml:space="preserve">BEER, BUD LIGHT </v>
      </c>
      <c r="B751" s="344"/>
      <c r="C751" s="345"/>
      <c r="D751" s="344"/>
      <c r="E751" s="345"/>
      <c r="F751" s="208"/>
      <c r="G751" s="208"/>
      <c r="H751" s="208"/>
    </row>
    <row r="752" spans="1:8" hidden="1" x14ac:dyDescent="0.25">
      <c r="A752" s="61" t="str">
        <f t="shared" si="46"/>
        <v>BEER, COORS LIGHT</v>
      </c>
      <c r="B752" s="344"/>
      <c r="C752" s="345"/>
      <c r="D752" s="344"/>
      <c r="E752" s="345"/>
      <c r="F752" s="208"/>
      <c r="G752" s="208"/>
      <c r="H752" s="208"/>
    </row>
    <row r="753" spans="1:8" hidden="1" x14ac:dyDescent="0.25">
      <c r="A753" s="61" t="str">
        <f t="shared" si="46"/>
        <v>BEER, MILLER LITE</v>
      </c>
      <c r="B753" s="344"/>
      <c r="C753" s="345"/>
      <c r="D753" s="344"/>
      <c r="E753" s="345"/>
      <c r="F753" s="208"/>
      <c r="G753" s="208"/>
      <c r="H753" s="208"/>
    </row>
    <row r="754" spans="1:8" hidden="1" x14ac:dyDescent="0.25">
      <c r="A754" s="61" t="str">
        <f t="shared" si="46"/>
        <v>BEER, MICHELOB ULTRA</v>
      </c>
      <c r="B754" s="344"/>
      <c r="C754" s="345"/>
      <c r="D754" s="344"/>
      <c r="E754" s="345"/>
      <c r="F754" s="208"/>
      <c r="G754" s="208"/>
      <c r="H754" s="208"/>
    </row>
    <row r="755" spans="1:8" hidden="1" x14ac:dyDescent="0.25">
      <c r="A755" s="61" t="str">
        <f t="shared" si="46"/>
        <v>BEER, BUD ALUM</v>
      </c>
      <c r="B755" s="344"/>
      <c r="C755" s="345"/>
      <c r="D755" s="344"/>
      <c r="E755" s="345"/>
      <c r="F755" s="208"/>
      <c r="G755" s="208"/>
      <c r="H755" s="208"/>
    </row>
    <row r="756" spans="1:8" hidden="1" x14ac:dyDescent="0.25">
      <c r="A756" s="61" t="str">
        <f t="shared" si="46"/>
        <v>BEER, BUD LIGHT ALUM</v>
      </c>
      <c r="B756" s="344"/>
      <c r="C756" s="345"/>
      <c r="D756" s="344"/>
      <c r="E756" s="345"/>
      <c r="F756" s="208"/>
      <c r="G756" s="208"/>
      <c r="H756" s="208"/>
    </row>
    <row r="757" spans="1:8" hidden="1" x14ac:dyDescent="0.25">
      <c r="A757" s="61" t="str">
        <f t="shared" si="46"/>
        <v>BEER, MICHELOB ULTRA ALUM</v>
      </c>
      <c r="B757" s="344"/>
      <c r="C757" s="345"/>
      <c r="D757" s="344"/>
      <c r="E757" s="345"/>
      <c r="F757" s="208"/>
      <c r="G757" s="208"/>
      <c r="H757" s="208"/>
    </row>
    <row r="758" spans="1:8" hidden="1" x14ac:dyDescent="0.25">
      <c r="A758" s="61" t="str">
        <f t="shared" si="46"/>
        <v>BEER, BUD LIGHT LIME ALUM</v>
      </c>
      <c r="B758" s="344"/>
      <c r="C758" s="345"/>
      <c r="D758" s="344"/>
      <c r="E758" s="345"/>
      <c r="F758" s="208"/>
      <c r="G758" s="208"/>
      <c r="H758" s="208"/>
    </row>
    <row r="759" spans="1:8" hidden="1" x14ac:dyDescent="0.25">
      <c r="A759" s="61" t="str">
        <f t="shared" si="46"/>
        <v>BEER, BUD FAN APPRECIATION</v>
      </c>
      <c r="B759" s="344"/>
      <c r="C759" s="345"/>
      <c r="D759" s="344"/>
      <c r="E759" s="345"/>
      <c r="F759" s="208"/>
      <c r="G759" s="208"/>
      <c r="H759" s="208"/>
    </row>
    <row r="760" spans="1:8" hidden="1" x14ac:dyDescent="0.25">
      <c r="A760" s="61">
        <f t="shared" si="46"/>
        <v>0</v>
      </c>
      <c r="B760" s="344"/>
      <c r="C760" s="345"/>
      <c r="D760" s="344"/>
      <c r="E760" s="345"/>
      <c r="F760" s="208"/>
      <c r="G760" s="208"/>
      <c r="H760" s="208"/>
    </row>
    <row r="761" spans="1:8" hidden="1" x14ac:dyDescent="0.25">
      <c r="A761" s="61" t="str">
        <f t="shared" si="46"/>
        <v>BEER, DRAFT DOMESTIC</v>
      </c>
      <c r="B761" s="344"/>
      <c r="C761" s="345"/>
      <c r="D761" s="344"/>
      <c r="E761" s="345"/>
      <c r="F761" s="208"/>
      <c r="G761" s="208"/>
      <c r="H761" s="208"/>
    </row>
    <row r="762" spans="1:8" hidden="1" x14ac:dyDescent="0.25">
      <c r="A762" s="61" t="str">
        <f t="shared" si="46"/>
        <v>BEER, DRAFT PREMIUM</v>
      </c>
      <c r="B762" s="344"/>
      <c r="C762" s="345"/>
      <c r="D762" s="344"/>
      <c r="E762" s="345"/>
      <c r="F762" s="208"/>
      <c r="G762" s="208"/>
      <c r="H762" s="208"/>
    </row>
    <row r="763" spans="1:8" hidden="1" x14ac:dyDescent="0.25">
      <c r="A763" s="61">
        <f t="shared" si="46"/>
        <v>0</v>
      </c>
      <c r="B763" s="344"/>
      <c r="C763" s="345"/>
      <c r="D763" s="344"/>
      <c r="E763" s="345"/>
      <c r="F763" s="208"/>
      <c r="G763" s="208"/>
      <c r="H763" s="208"/>
    </row>
    <row r="764" spans="1:8" hidden="1" x14ac:dyDescent="0.25">
      <c r="A764" s="61" t="str">
        <f t="shared" si="46"/>
        <v>BEER, LANDSHARK</v>
      </c>
      <c r="B764" s="344"/>
      <c r="C764" s="345"/>
      <c r="D764" s="344"/>
      <c r="E764" s="345"/>
      <c r="F764" s="208"/>
      <c r="G764" s="208"/>
      <c r="H764" s="208"/>
    </row>
    <row r="765" spans="1:8" hidden="1" x14ac:dyDescent="0.25">
      <c r="A765" s="61" t="str">
        <f t="shared" si="46"/>
        <v>BEER, SHOCK TOP BELGIUM WHITE</v>
      </c>
      <c r="B765" s="344"/>
      <c r="C765" s="345"/>
      <c r="D765" s="344"/>
      <c r="E765" s="345"/>
      <c r="F765" s="208"/>
      <c r="G765" s="208"/>
      <c r="H765" s="208"/>
    </row>
    <row r="766" spans="1:8" hidden="1" x14ac:dyDescent="0.25">
      <c r="A766" s="61" t="str">
        <f t="shared" si="46"/>
        <v>BEER, SHOCK TOP SHANDY</v>
      </c>
      <c r="B766" s="344"/>
      <c r="C766" s="345"/>
      <c r="D766" s="344"/>
      <c r="E766" s="345"/>
      <c r="F766" s="208"/>
      <c r="G766" s="208"/>
      <c r="H766" s="208"/>
    </row>
    <row r="767" spans="1:8" hidden="1" x14ac:dyDescent="0.25">
      <c r="A767" s="61" t="str">
        <f t="shared" si="46"/>
        <v>BEER, STELLA</v>
      </c>
      <c r="B767" s="344"/>
      <c r="C767" s="345"/>
      <c r="D767" s="344"/>
      <c r="E767" s="345"/>
      <c r="F767" s="208"/>
      <c r="G767" s="208"/>
      <c r="H767" s="208"/>
    </row>
    <row r="768" spans="1:8" hidden="1" x14ac:dyDescent="0.25">
      <c r="A768" s="61" t="str">
        <f t="shared" si="46"/>
        <v>BEER, DRAFT</v>
      </c>
      <c r="B768" s="344"/>
      <c r="C768" s="345"/>
      <c r="D768" s="344"/>
      <c r="E768" s="345"/>
      <c r="F768" s="208"/>
      <c r="G768" s="208"/>
      <c r="H768" s="208"/>
    </row>
    <row r="769" spans="1:8" hidden="1" x14ac:dyDescent="0.25">
      <c r="A769" s="61" t="str">
        <f t="shared" si="46"/>
        <v>MALT, LIME A RITA</v>
      </c>
      <c r="B769" s="344"/>
      <c r="C769" s="345"/>
      <c r="D769" s="344"/>
      <c r="E769" s="345"/>
      <c r="F769" s="208"/>
      <c r="G769" s="208"/>
      <c r="H769" s="208"/>
    </row>
    <row r="770" spans="1:8" hidden="1" x14ac:dyDescent="0.25">
      <c r="A770" s="61" t="str">
        <f t="shared" si="46"/>
        <v>MALT, STRAWBER-RITA</v>
      </c>
      <c r="B770" s="344"/>
      <c r="C770" s="345"/>
      <c r="D770" s="344"/>
      <c r="E770" s="345"/>
      <c r="F770" s="208"/>
      <c r="G770" s="208"/>
      <c r="H770" s="208"/>
    </row>
    <row r="771" spans="1:8" hidden="1" x14ac:dyDescent="0.25">
      <c r="A771" s="61" t="str">
        <f t="shared" si="46"/>
        <v>MALT, JOHNNY APPLE SEED CIDER</v>
      </c>
      <c r="B771" s="344"/>
      <c r="C771" s="345"/>
      <c r="D771" s="344"/>
      <c r="E771" s="345"/>
      <c r="F771" s="208"/>
      <c r="G771" s="208"/>
      <c r="H771" s="208"/>
    </row>
    <row r="772" spans="1:8" hidden="1" x14ac:dyDescent="0.25">
      <c r="A772" s="61">
        <f t="shared" si="46"/>
        <v>0</v>
      </c>
      <c r="B772" s="344"/>
      <c r="C772" s="345"/>
      <c r="D772" s="344"/>
      <c r="E772" s="345"/>
      <c r="F772" s="208"/>
      <c r="G772" s="208"/>
      <c r="H772" s="208"/>
    </row>
    <row r="773" spans="1:8" hidden="1" x14ac:dyDescent="0.25">
      <c r="A773" s="61" t="str">
        <f t="shared" ref="A773:A794" si="47">A172</f>
        <v>BUCKET</v>
      </c>
      <c r="B773" s="344"/>
      <c r="C773" s="345"/>
      <c r="D773" s="344"/>
      <c r="E773" s="345"/>
      <c r="F773" s="208"/>
      <c r="G773" s="208"/>
      <c r="H773" s="208"/>
    </row>
    <row r="774" spans="1:8" hidden="1" x14ac:dyDescent="0.25">
      <c r="A774" s="61">
        <f t="shared" si="47"/>
        <v>0</v>
      </c>
      <c r="B774" s="344"/>
      <c r="C774" s="345"/>
      <c r="D774" s="344"/>
      <c r="E774" s="345"/>
      <c r="F774" s="208"/>
      <c r="G774" s="208"/>
      <c r="H774" s="208"/>
    </row>
    <row r="775" spans="1:8" hidden="1" x14ac:dyDescent="0.25">
      <c r="A775" s="61">
        <f t="shared" si="47"/>
        <v>0</v>
      </c>
      <c r="B775" s="344"/>
      <c r="C775" s="345"/>
      <c r="D775" s="344"/>
      <c r="E775" s="345"/>
      <c r="F775" s="208"/>
      <c r="G775" s="208"/>
      <c r="H775" s="208"/>
    </row>
    <row r="776" spans="1:8" hidden="1" x14ac:dyDescent="0.25">
      <c r="A776" s="61">
        <f t="shared" si="47"/>
        <v>0</v>
      </c>
      <c r="B776" s="344"/>
      <c r="C776" s="345"/>
      <c r="D776" s="344"/>
      <c r="E776" s="345"/>
      <c r="F776" s="208"/>
      <c r="G776" s="208"/>
      <c r="H776" s="208"/>
    </row>
    <row r="777" spans="1:8" hidden="1" x14ac:dyDescent="0.25">
      <c r="A777" s="61" t="str">
        <f t="shared" si="47"/>
        <v>DRINKS, BOMBERS</v>
      </c>
      <c r="B777" s="344"/>
      <c r="C777" s="345"/>
      <c r="D777" s="344"/>
      <c r="E777" s="345"/>
      <c r="F777" s="208"/>
      <c r="G777" s="208"/>
      <c r="H777" s="208"/>
    </row>
    <row r="778" spans="1:8" hidden="1" x14ac:dyDescent="0.25">
      <c r="A778" s="61" t="str">
        <f t="shared" si="47"/>
        <v>DRINKS, FROZEN</v>
      </c>
      <c r="B778" s="344"/>
      <c r="C778" s="345"/>
      <c r="D778" s="344"/>
      <c r="E778" s="345"/>
      <c r="F778" s="208"/>
      <c r="G778" s="208"/>
      <c r="H778" s="208"/>
    </row>
    <row r="779" spans="1:8" hidden="1" x14ac:dyDescent="0.25">
      <c r="A779" s="61" t="str">
        <f t="shared" si="47"/>
        <v>DRINKS, MIXED</v>
      </c>
      <c r="B779" s="344"/>
      <c r="C779" s="345"/>
      <c r="D779" s="344"/>
      <c r="E779" s="345"/>
      <c r="F779" s="208"/>
      <c r="G779" s="208"/>
      <c r="H779" s="208"/>
    </row>
    <row r="780" spans="1:8" hidden="1" x14ac:dyDescent="0.25">
      <c r="A780" s="61" t="str">
        <f t="shared" si="47"/>
        <v>DRINKS, MIXED W/PATRON</v>
      </c>
      <c r="B780" s="344"/>
      <c r="C780" s="345"/>
      <c r="D780" s="344"/>
      <c r="E780" s="345"/>
      <c r="F780" s="208"/>
      <c r="G780" s="208"/>
      <c r="H780" s="208"/>
    </row>
    <row r="781" spans="1:8" hidden="1" x14ac:dyDescent="0.25">
      <c r="A781" s="61" t="str">
        <f t="shared" si="47"/>
        <v>DRINKS, SHOT</v>
      </c>
      <c r="B781" s="344"/>
      <c r="C781" s="345"/>
      <c r="D781" s="344"/>
      <c r="E781" s="345"/>
      <c r="F781" s="208"/>
      <c r="G781" s="208"/>
      <c r="H781" s="208"/>
    </row>
    <row r="782" spans="1:8" hidden="1" x14ac:dyDescent="0.25">
      <c r="A782" s="61" t="str">
        <f t="shared" si="47"/>
        <v>DRINKS, SHOT W/PATRON</v>
      </c>
      <c r="B782" s="344"/>
      <c r="C782" s="345"/>
      <c r="D782" s="344"/>
      <c r="E782" s="345"/>
      <c r="F782" s="208"/>
      <c r="G782" s="208"/>
      <c r="H782" s="208"/>
    </row>
    <row r="783" spans="1:8" hidden="1" x14ac:dyDescent="0.25">
      <c r="A783" s="61" t="str">
        <f t="shared" si="47"/>
        <v>LIQUOR, CROWN ROYAL 1L</v>
      </c>
      <c r="B783" s="344"/>
      <c r="C783" s="345"/>
      <c r="D783" s="344"/>
      <c r="E783" s="345"/>
      <c r="F783" s="208"/>
      <c r="G783" s="208"/>
      <c r="H783" s="208"/>
    </row>
    <row r="784" spans="1:8" hidden="1" x14ac:dyDescent="0.25">
      <c r="A784" s="61" t="str">
        <f t="shared" si="47"/>
        <v>LIQUOR, GIN PINNACLE 1L</v>
      </c>
      <c r="B784" s="344"/>
      <c r="C784" s="345"/>
      <c r="D784" s="344"/>
      <c r="E784" s="345"/>
      <c r="F784" s="208"/>
      <c r="G784" s="208"/>
      <c r="H784" s="208"/>
    </row>
    <row r="785" spans="1:8" hidden="1" x14ac:dyDescent="0.25">
      <c r="A785" s="61" t="str">
        <f t="shared" si="47"/>
        <v>LIQUOR, GIN SEAGRAM'S</v>
      </c>
      <c r="B785" s="344"/>
      <c r="C785" s="345"/>
      <c r="D785" s="344"/>
      <c r="E785" s="345"/>
      <c r="F785" s="208"/>
      <c r="G785" s="208"/>
      <c r="H785" s="208"/>
    </row>
    <row r="786" spans="1:8" hidden="1" x14ac:dyDescent="0.25">
      <c r="A786" s="61" t="str">
        <f t="shared" si="47"/>
        <v>LIQUOR, GIN TANQUERAY</v>
      </c>
      <c r="B786" s="344"/>
      <c r="C786" s="345"/>
      <c r="D786" s="344"/>
      <c r="E786" s="345"/>
      <c r="F786" s="208"/>
      <c r="G786" s="208"/>
      <c r="H786" s="208"/>
    </row>
    <row r="787" spans="1:8" hidden="1" x14ac:dyDescent="0.25">
      <c r="A787" s="61" t="str">
        <f t="shared" si="47"/>
        <v xml:space="preserve">LIQUOR, JACK DANIELS  </v>
      </c>
      <c r="B787" s="344"/>
      <c r="C787" s="345"/>
      <c r="D787" s="344"/>
      <c r="E787" s="345"/>
      <c r="F787" s="208"/>
      <c r="G787" s="208"/>
      <c r="H787" s="208"/>
    </row>
    <row r="788" spans="1:8" hidden="1" x14ac:dyDescent="0.25">
      <c r="A788" s="61" t="str">
        <f t="shared" si="47"/>
        <v>LIQUOR, JACK DANIELS BLACK</v>
      </c>
      <c r="B788" s="344"/>
      <c r="C788" s="345"/>
      <c r="D788" s="344"/>
      <c r="E788" s="345"/>
      <c r="F788" s="208"/>
      <c r="G788" s="208"/>
      <c r="H788" s="208"/>
    </row>
    <row r="789" spans="1:8" hidden="1" x14ac:dyDescent="0.25">
      <c r="A789" s="61" t="str">
        <f t="shared" si="47"/>
        <v>LIQUOR, JACK DANIELS GENTLEMAN JACK</v>
      </c>
      <c r="B789" s="344"/>
      <c r="C789" s="345"/>
      <c r="D789" s="344"/>
      <c r="E789" s="345"/>
      <c r="F789" s="208"/>
      <c r="G789" s="208"/>
      <c r="H789" s="208"/>
    </row>
    <row r="790" spans="1:8" hidden="1" x14ac:dyDescent="0.25">
      <c r="A790" s="61" t="str">
        <f t="shared" si="47"/>
        <v>LIQUOR, JACK DANIELS HONEY</v>
      </c>
      <c r="B790" s="344"/>
      <c r="C790" s="345"/>
      <c r="D790" s="344"/>
      <c r="E790" s="345"/>
      <c r="F790" s="208"/>
      <c r="G790" s="208"/>
      <c r="H790" s="208"/>
    </row>
    <row r="791" spans="1:8" hidden="1" x14ac:dyDescent="0.25">
      <c r="A791" s="61" t="str">
        <f t="shared" si="47"/>
        <v>LIQUOR, JACK DANIELS RYE</v>
      </c>
      <c r="B791" s="344"/>
      <c r="C791" s="345"/>
      <c r="D791" s="344"/>
      <c r="E791" s="345"/>
      <c r="F791" s="208"/>
      <c r="G791" s="208"/>
      <c r="H791" s="208"/>
    </row>
    <row r="792" spans="1:8" hidden="1" x14ac:dyDescent="0.25">
      <c r="A792" s="61" t="str">
        <f t="shared" si="47"/>
        <v>LIQUOR, JACK DANIELS SINGLE BARREL</v>
      </c>
      <c r="B792" s="344"/>
      <c r="C792" s="345"/>
      <c r="D792" s="344"/>
      <c r="E792" s="345"/>
      <c r="F792" s="208"/>
      <c r="G792" s="208"/>
      <c r="H792" s="208"/>
    </row>
    <row r="793" spans="1:8" hidden="1" x14ac:dyDescent="0.25">
      <c r="A793" s="61" t="str">
        <f t="shared" si="47"/>
        <v>LIQUOR, JAGERMEISTER 1L</v>
      </c>
      <c r="B793" s="344"/>
      <c r="C793" s="345"/>
      <c r="D793" s="344"/>
      <c r="E793" s="345"/>
      <c r="F793" s="208"/>
      <c r="G793" s="208"/>
      <c r="H793" s="208"/>
    </row>
    <row r="794" spans="1:8" hidden="1" x14ac:dyDescent="0.25">
      <c r="A794" s="61" t="str">
        <f t="shared" si="47"/>
        <v>LIQUOR, JIM BEAM</v>
      </c>
      <c r="B794" s="344"/>
      <c r="C794" s="345"/>
      <c r="D794" s="344"/>
      <c r="E794" s="345"/>
      <c r="F794" s="208"/>
      <c r="G794" s="208"/>
      <c r="H794" s="208"/>
    </row>
    <row r="795" spans="1:8" hidden="1" x14ac:dyDescent="0.25">
      <c r="A795" s="61" t="str">
        <f>A194</f>
        <v>LIQUOR, JIM BEAM BLACK</v>
      </c>
      <c r="B795" s="344"/>
      <c r="C795" s="345"/>
      <c r="D795" s="344"/>
      <c r="E795" s="345"/>
      <c r="F795" s="208"/>
      <c r="G795" s="208"/>
      <c r="H795" s="208"/>
    </row>
    <row r="796" spans="1:8" hidden="1" x14ac:dyDescent="0.25">
      <c r="A796" s="61" t="str">
        <f>A195</f>
        <v>LIQUOR, JIM BEAM BLACK CHERRY</v>
      </c>
      <c r="B796" s="344"/>
      <c r="C796" s="345"/>
      <c r="D796" s="344"/>
      <c r="E796" s="345"/>
      <c r="F796" s="208"/>
      <c r="G796" s="208"/>
      <c r="H796" s="208"/>
    </row>
    <row r="797" spans="1:8" hidden="1" x14ac:dyDescent="0.25">
      <c r="A797" s="61" t="e">
        <f>#REF!</f>
        <v>#REF!</v>
      </c>
      <c r="B797" s="344"/>
      <c r="C797" s="345"/>
      <c r="D797" s="344"/>
      <c r="E797" s="345"/>
      <c r="F797" s="208"/>
      <c r="G797" s="208"/>
      <c r="H797" s="208"/>
    </row>
    <row r="798" spans="1:8" hidden="1" x14ac:dyDescent="0.25"/>
    <row r="799" spans="1:8" hidden="1" x14ac:dyDescent="0.25">
      <c r="A799" s="211" t="s">
        <v>441</v>
      </c>
    </row>
    <row r="800" spans="1:8" hidden="1" x14ac:dyDescent="0.25"/>
    <row r="801" spans="1:8" ht="14.25" hidden="1" thickBot="1" x14ac:dyDescent="0.3">
      <c r="A801" s="212"/>
      <c r="B801" s="212"/>
      <c r="C801" s="212"/>
      <c r="D801" s="212"/>
      <c r="E801" s="212"/>
      <c r="F801" s="19"/>
      <c r="G801" s="19"/>
      <c r="H801" s="19"/>
    </row>
    <row r="802" spans="1:8" hidden="1" x14ac:dyDescent="0.25"/>
    <row r="803" spans="1:8" hidden="1" x14ac:dyDescent="0.25">
      <c r="A803" s="213" t="s">
        <v>442</v>
      </c>
    </row>
    <row r="804" spans="1:8" hidden="1" x14ac:dyDescent="0.25"/>
    <row r="805" spans="1:8" ht="14.25" hidden="1" thickBot="1" x14ac:dyDescent="0.3">
      <c r="A805" s="212"/>
      <c r="B805" s="212"/>
      <c r="C805" s="212"/>
      <c r="D805" s="212"/>
      <c r="E805" s="212"/>
      <c r="F805" s="19"/>
      <c r="G805" s="19"/>
      <c r="H805" s="19"/>
    </row>
    <row r="806" spans="1:8" hidden="1" x14ac:dyDescent="0.25"/>
  </sheetData>
  <protectedRanges>
    <protectedRange sqref="D178:I179 C7:L15 K16:L21 C149:I177 K149:K170 C248:L261 K22:K99 C16:J99 C180:I247 K171:L247 J149:J247 C100:K148" name="Range1_1_1"/>
    <protectedRange sqref="L22:L170" name="Range1_1_1_2"/>
    <protectedRange sqref="B649:H797" name="Range1_1_1_1_1"/>
    <protectedRange sqref="C178:C179" name="Range1_1_1_1"/>
  </protectedRanges>
  <mergeCells count="202">
    <mergeCell ref="B796:C796"/>
    <mergeCell ref="D796:E796"/>
    <mergeCell ref="B797:C797"/>
    <mergeCell ref="D797:E797"/>
    <mergeCell ref="B793:C793"/>
    <mergeCell ref="D793:E793"/>
    <mergeCell ref="B794:C794"/>
    <mergeCell ref="D794:E794"/>
    <mergeCell ref="B795:C795"/>
    <mergeCell ref="D795:E795"/>
    <mergeCell ref="B790:C790"/>
    <mergeCell ref="D790:E790"/>
    <mergeCell ref="B791:C791"/>
    <mergeCell ref="D791:E791"/>
    <mergeCell ref="B792:C792"/>
    <mergeCell ref="D792:E792"/>
    <mergeCell ref="B787:C787"/>
    <mergeCell ref="D787:E787"/>
    <mergeCell ref="B788:C788"/>
    <mergeCell ref="D788:E788"/>
    <mergeCell ref="B789:C789"/>
    <mergeCell ref="D789:E789"/>
    <mergeCell ref="B784:C784"/>
    <mergeCell ref="D784:E784"/>
    <mergeCell ref="B785:C785"/>
    <mergeCell ref="D785:E785"/>
    <mergeCell ref="B786:C786"/>
    <mergeCell ref="D786:E786"/>
    <mergeCell ref="B781:C781"/>
    <mergeCell ref="D781:E781"/>
    <mergeCell ref="B782:C782"/>
    <mergeCell ref="D782:E782"/>
    <mergeCell ref="B783:C783"/>
    <mergeCell ref="D783:E783"/>
    <mergeCell ref="B778:C778"/>
    <mergeCell ref="D778:E778"/>
    <mergeCell ref="B779:C779"/>
    <mergeCell ref="D779:E779"/>
    <mergeCell ref="B780:C780"/>
    <mergeCell ref="D780:E780"/>
    <mergeCell ref="B775:C775"/>
    <mergeCell ref="D775:E775"/>
    <mergeCell ref="B776:C776"/>
    <mergeCell ref="D776:E776"/>
    <mergeCell ref="B777:C777"/>
    <mergeCell ref="D777:E777"/>
    <mergeCell ref="B772:C772"/>
    <mergeCell ref="D772:E772"/>
    <mergeCell ref="B773:C773"/>
    <mergeCell ref="D773:E773"/>
    <mergeCell ref="B774:C774"/>
    <mergeCell ref="D774:E774"/>
    <mergeCell ref="B769:C769"/>
    <mergeCell ref="D769:E769"/>
    <mergeCell ref="B770:C770"/>
    <mergeCell ref="D770:E770"/>
    <mergeCell ref="B771:C771"/>
    <mergeCell ref="D771:E771"/>
    <mergeCell ref="B766:C766"/>
    <mergeCell ref="D766:E766"/>
    <mergeCell ref="B767:C767"/>
    <mergeCell ref="D767:E767"/>
    <mergeCell ref="B768:C768"/>
    <mergeCell ref="D768:E768"/>
    <mergeCell ref="B763:C763"/>
    <mergeCell ref="D763:E763"/>
    <mergeCell ref="B764:C764"/>
    <mergeCell ref="D764:E764"/>
    <mergeCell ref="B765:C765"/>
    <mergeCell ref="D765:E765"/>
    <mergeCell ref="B760:C760"/>
    <mergeCell ref="D760:E760"/>
    <mergeCell ref="B761:C761"/>
    <mergeCell ref="D761:E761"/>
    <mergeCell ref="B762:C762"/>
    <mergeCell ref="D762:E762"/>
    <mergeCell ref="B757:C757"/>
    <mergeCell ref="D757:E757"/>
    <mergeCell ref="B758:C758"/>
    <mergeCell ref="D758:E758"/>
    <mergeCell ref="B759:C759"/>
    <mergeCell ref="D759:E759"/>
    <mergeCell ref="B754:C754"/>
    <mergeCell ref="D754:E754"/>
    <mergeCell ref="B755:C755"/>
    <mergeCell ref="D755:E755"/>
    <mergeCell ref="B756:C756"/>
    <mergeCell ref="D756:E756"/>
    <mergeCell ref="B751:C751"/>
    <mergeCell ref="D751:E751"/>
    <mergeCell ref="B752:C752"/>
    <mergeCell ref="D752:E752"/>
    <mergeCell ref="B753:C753"/>
    <mergeCell ref="D753:E753"/>
    <mergeCell ref="B748:C748"/>
    <mergeCell ref="D748:E748"/>
    <mergeCell ref="B749:C749"/>
    <mergeCell ref="D749:E749"/>
    <mergeCell ref="B750:C750"/>
    <mergeCell ref="D750:E750"/>
    <mergeCell ref="B745:C745"/>
    <mergeCell ref="D745:E745"/>
    <mergeCell ref="B746:C746"/>
    <mergeCell ref="D746:E746"/>
    <mergeCell ref="B747:C747"/>
    <mergeCell ref="D747:E747"/>
    <mergeCell ref="B742:C742"/>
    <mergeCell ref="D742:E742"/>
    <mergeCell ref="B743:C743"/>
    <mergeCell ref="D743:E743"/>
    <mergeCell ref="B744:C744"/>
    <mergeCell ref="D744:E744"/>
    <mergeCell ref="B739:C739"/>
    <mergeCell ref="D739:E739"/>
    <mergeCell ref="B740:C740"/>
    <mergeCell ref="D740:E740"/>
    <mergeCell ref="B741:C741"/>
    <mergeCell ref="D741:E741"/>
    <mergeCell ref="B736:C736"/>
    <mergeCell ref="D736:E736"/>
    <mergeCell ref="B737:C737"/>
    <mergeCell ref="D737:E737"/>
    <mergeCell ref="B738:C738"/>
    <mergeCell ref="D738:E738"/>
    <mergeCell ref="B733:C733"/>
    <mergeCell ref="D733:E733"/>
    <mergeCell ref="B734:C734"/>
    <mergeCell ref="D734:E734"/>
    <mergeCell ref="B735:C735"/>
    <mergeCell ref="D735:E735"/>
    <mergeCell ref="B730:C730"/>
    <mergeCell ref="D730:E730"/>
    <mergeCell ref="B731:C731"/>
    <mergeCell ref="D731:E731"/>
    <mergeCell ref="B732:C732"/>
    <mergeCell ref="D732:E732"/>
    <mergeCell ref="B727:C727"/>
    <mergeCell ref="D727:E727"/>
    <mergeCell ref="B728:C728"/>
    <mergeCell ref="D728:E728"/>
    <mergeCell ref="B729:C729"/>
    <mergeCell ref="D729:E729"/>
    <mergeCell ref="B724:C724"/>
    <mergeCell ref="D724:E724"/>
    <mergeCell ref="B725:C725"/>
    <mergeCell ref="D725:E725"/>
    <mergeCell ref="B726:C726"/>
    <mergeCell ref="D726:E726"/>
    <mergeCell ref="B721:C721"/>
    <mergeCell ref="D721:E721"/>
    <mergeCell ref="B722:C722"/>
    <mergeCell ref="D722:E722"/>
    <mergeCell ref="B723:C723"/>
    <mergeCell ref="D723:E723"/>
    <mergeCell ref="B718:C718"/>
    <mergeCell ref="D718:E718"/>
    <mergeCell ref="B719:C719"/>
    <mergeCell ref="D719:E719"/>
    <mergeCell ref="B720:C720"/>
    <mergeCell ref="D720:E720"/>
    <mergeCell ref="B715:C715"/>
    <mergeCell ref="D715:E715"/>
    <mergeCell ref="B716:C716"/>
    <mergeCell ref="D716:E716"/>
    <mergeCell ref="B717:C717"/>
    <mergeCell ref="D717:E717"/>
    <mergeCell ref="B646:D646"/>
    <mergeCell ref="B647:D647"/>
    <mergeCell ref="B648:C648"/>
    <mergeCell ref="D648:E648"/>
    <mergeCell ref="B649:C649"/>
    <mergeCell ref="D649:E649"/>
    <mergeCell ref="J476:K476"/>
    <mergeCell ref="J478:K478"/>
    <mergeCell ref="J480:K480"/>
    <mergeCell ref="J482:K482"/>
    <mergeCell ref="B645:D645"/>
    <mergeCell ref="F645:G645"/>
    <mergeCell ref="I463:J463"/>
    <mergeCell ref="I465:J465"/>
    <mergeCell ref="I467:J467"/>
    <mergeCell ref="I468:J468"/>
    <mergeCell ref="I470:J470"/>
    <mergeCell ref="J474:K474"/>
    <mergeCell ref="I455:J455"/>
    <mergeCell ref="I456:J456"/>
    <mergeCell ref="I457:J457"/>
    <mergeCell ref="I460:J460"/>
    <mergeCell ref="I461:J461"/>
    <mergeCell ref="I462:J462"/>
    <mergeCell ref="I448:J448"/>
    <mergeCell ref="I449:J449"/>
    <mergeCell ref="I450:J450"/>
    <mergeCell ref="I451:J451"/>
    <mergeCell ref="M453:N453"/>
    <mergeCell ref="I454:J454"/>
    <mergeCell ref="B3:C3"/>
    <mergeCell ref="S262:T262"/>
    <mergeCell ref="B277:C277"/>
    <mergeCell ref="N440:O440"/>
    <mergeCell ref="N441:O441"/>
    <mergeCell ref="N446:O446"/>
  </mergeCells>
  <pageMargins left="0.7" right="0.7" top="0.75" bottom="0.75" header="0.3" footer="0.3"/>
  <pageSetup paperSize="5" scale="47" orientation="landscape" r:id="rId1"/>
  <rowBreaks count="1" manualBreakCount="1">
    <brk id="806" max="1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Pict="0">
                <anchor moveWithCells="1">
                  <from>
                    <xdr:col>4</xdr:col>
                    <xdr:colOff>38100</xdr:colOff>
                    <xdr:row>0</xdr:row>
                    <xdr:rowOff>57150</xdr:rowOff>
                  </from>
                  <to>
                    <xdr:col>4</xdr:col>
                    <xdr:colOff>361950</xdr:colOff>
                    <xdr:row>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Button 2">
              <controlPr defaultSize="0" print="0" autoFill="0" autoPict="0">
                <anchor moveWithCells="1">
                  <from>
                    <xdr:col>5</xdr:col>
                    <xdr:colOff>438150</xdr:colOff>
                    <xdr:row>0</xdr:row>
                    <xdr:rowOff>133350</xdr:rowOff>
                  </from>
                  <to>
                    <xdr:col>5</xdr:col>
                    <xdr:colOff>666750</xdr:colOff>
                    <xdr:row>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Button 3">
              <controlPr defaultSize="0" print="0" autoFill="0" autoPict="0">
                <anchor moveWithCells="1">
                  <from>
                    <xdr:col>5</xdr:col>
                    <xdr:colOff>438150</xdr:colOff>
                    <xdr:row>1</xdr:row>
                    <xdr:rowOff>114300</xdr:rowOff>
                  </from>
                  <to>
                    <xdr:col>5</xdr:col>
                    <xdr:colOff>838200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topLeftCell="A53" workbookViewId="0">
      <selection activeCell="B72" sqref="B72"/>
    </sheetView>
  </sheetViews>
  <sheetFormatPr defaultColWidth="12.42578125" defaultRowHeight="15" x14ac:dyDescent="0.2"/>
  <cols>
    <col min="1" max="1" width="20.140625" style="217" customWidth="1"/>
    <col min="2" max="6" width="15" style="217" customWidth="1"/>
    <col min="7" max="7" width="17.5703125" style="217" customWidth="1"/>
    <col min="8" max="8" width="12.42578125" style="217" customWidth="1"/>
    <col min="9" max="9" width="43.5703125" style="217" bestFit="1" customWidth="1"/>
    <col min="10" max="10" width="12.42578125" style="217" customWidth="1"/>
    <col min="11" max="11" width="16.28515625" style="217" customWidth="1"/>
    <col min="12" max="16384" width="12.42578125" style="217"/>
  </cols>
  <sheetData>
    <row r="1" spans="1:10" ht="24.95" customHeight="1" x14ac:dyDescent="0.25">
      <c r="A1" s="214" t="s">
        <v>443</v>
      </c>
      <c r="B1" s="215"/>
      <c r="C1" s="215"/>
      <c r="D1" s="215"/>
      <c r="E1" s="215"/>
      <c r="F1" s="215"/>
      <c r="G1" s="215"/>
      <c r="H1" s="216">
        <f ca="1">NOW()</f>
        <v>42116.918579398145</v>
      </c>
    </row>
    <row r="2" spans="1:10" s="223" customFormat="1" ht="18" x14ac:dyDescent="0.25">
      <c r="A2" s="218" t="s">
        <v>63</v>
      </c>
      <c r="B2" s="219"/>
      <c r="C2" s="220"/>
      <c r="D2" s="220"/>
      <c r="E2" s="220"/>
      <c r="F2" s="221"/>
      <c r="G2" s="220"/>
      <c r="H2" s="222">
        <v>56872</v>
      </c>
    </row>
    <row r="3" spans="1:10" s="223" customFormat="1" ht="18" x14ac:dyDescent="0.25">
      <c r="A3" s="352" t="s">
        <v>61</v>
      </c>
      <c r="B3" s="352"/>
      <c r="C3" s="352"/>
      <c r="D3" s="352"/>
      <c r="E3" s="352"/>
      <c r="F3" s="352"/>
      <c r="G3" s="352"/>
      <c r="H3" s="223">
        <v>40170</v>
      </c>
    </row>
    <row r="4" spans="1:10" ht="32.25" customHeight="1" x14ac:dyDescent="0.2">
      <c r="A4" s="353" t="s">
        <v>444</v>
      </c>
      <c r="B4" s="353"/>
      <c r="C4" s="353"/>
      <c r="D4" s="353"/>
      <c r="E4" s="353"/>
      <c r="F4" s="353"/>
      <c r="G4" s="353"/>
    </row>
    <row r="5" spans="1:10" ht="20.100000000000001" customHeight="1" x14ac:dyDescent="0.2">
      <c r="A5" s="224"/>
      <c r="B5" s="225"/>
      <c r="C5" s="225"/>
      <c r="D5" s="225"/>
      <c r="E5" s="225"/>
      <c r="F5" s="225"/>
      <c r="G5" s="224"/>
    </row>
    <row r="6" spans="1:10" s="231" customFormat="1" ht="20.45" customHeight="1" thickBot="1" x14ac:dyDescent="0.25">
      <c r="A6" s="226"/>
      <c r="B6" s="227" t="s">
        <v>61</v>
      </c>
      <c r="C6" s="228"/>
      <c r="D6" s="229"/>
      <c r="E6" s="229"/>
      <c r="F6" s="229"/>
      <c r="G6" s="230"/>
      <c r="I6" s="232"/>
      <c r="J6" s="232"/>
    </row>
    <row r="7" spans="1:10" ht="20.100000000000001" customHeight="1" x14ac:dyDescent="0.2">
      <c r="A7" s="233"/>
      <c r="B7" s="234"/>
      <c r="C7" s="235"/>
      <c r="D7" s="235"/>
      <c r="E7" s="235"/>
      <c r="F7" s="236"/>
      <c r="G7" s="237">
        <f t="shared" ref="G7:G24" si="0">SUM(B7:F7)</f>
        <v>0</v>
      </c>
      <c r="H7" s="238"/>
    </row>
    <row r="8" spans="1:10" ht="20.100000000000001" customHeight="1" x14ac:dyDescent="0.2">
      <c r="A8" s="239"/>
      <c r="B8" s="240"/>
      <c r="C8" s="241"/>
      <c r="D8" s="241"/>
      <c r="E8" s="241"/>
      <c r="F8" s="242"/>
      <c r="G8" s="243">
        <f t="shared" si="0"/>
        <v>0</v>
      </c>
      <c r="H8" s="238"/>
    </row>
    <row r="9" spans="1:10" ht="20.100000000000001" customHeight="1" x14ac:dyDescent="0.2">
      <c r="A9" s="239"/>
      <c r="B9" s="244"/>
      <c r="C9" s="241"/>
      <c r="D9" s="241"/>
      <c r="E9" s="241"/>
      <c r="F9" s="242"/>
      <c r="G9" s="243">
        <f t="shared" si="0"/>
        <v>0</v>
      </c>
      <c r="H9" s="238"/>
    </row>
    <row r="10" spans="1:10" ht="20.100000000000001" customHeight="1" x14ac:dyDescent="0.2">
      <c r="A10" s="239"/>
      <c r="B10" s="245"/>
      <c r="C10" s="241"/>
      <c r="D10" s="241"/>
      <c r="E10" s="241"/>
      <c r="F10" s="242"/>
      <c r="G10" s="243">
        <f t="shared" si="0"/>
        <v>0</v>
      </c>
      <c r="H10" s="238"/>
    </row>
    <row r="11" spans="1:10" ht="20.100000000000001" customHeight="1" x14ac:dyDescent="0.2">
      <c r="A11" s="239"/>
      <c r="B11" s="245"/>
      <c r="C11" s="241"/>
      <c r="D11" s="241"/>
      <c r="E11" s="241"/>
      <c r="F11" s="242"/>
      <c r="G11" s="243">
        <f t="shared" si="0"/>
        <v>0</v>
      </c>
      <c r="H11" s="238"/>
    </row>
    <row r="12" spans="1:10" ht="20.100000000000001" customHeight="1" x14ac:dyDescent="0.2">
      <c r="A12" s="239"/>
      <c r="B12" s="245"/>
      <c r="C12" s="241"/>
      <c r="D12" s="241"/>
      <c r="E12" s="241"/>
      <c r="F12" s="242"/>
      <c r="G12" s="243">
        <f t="shared" si="0"/>
        <v>0</v>
      </c>
      <c r="H12" s="238"/>
    </row>
    <row r="13" spans="1:10" ht="20.100000000000001" customHeight="1" x14ac:dyDescent="0.2">
      <c r="A13" s="239"/>
      <c r="B13" s="245"/>
      <c r="C13" s="241"/>
      <c r="D13" s="241"/>
      <c r="E13" s="241"/>
      <c r="F13" s="242"/>
      <c r="G13" s="243">
        <f t="shared" si="0"/>
        <v>0</v>
      </c>
      <c r="H13" s="238"/>
    </row>
    <row r="14" spans="1:10" ht="20.100000000000001" customHeight="1" x14ac:dyDescent="0.2">
      <c r="A14" s="239">
        <v>42070</v>
      </c>
      <c r="B14" s="245">
        <v>17505</v>
      </c>
      <c r="C14" s="241"/>
      <c r="D14" s="241"/>
      <c r="E14" s="241"/>
      <c r="F14" s="242"/>
      <c r="G14" s="243">
        <f t="shared" si="0"/>
        <v>17505</v>
      </c>
      <c r="H14" s="238"/>
    </row>
    <row r="15" spans="1:10" ht="20.100000000000001" customHeight="1" x14ac:dyDescent="0.2">
      <c r="A15" s="239">
        <v>42077</v>
      </c>
      <c r="B15" s="245">
        <v>4088</v>
      </c>
      <c r="C15" s="241"/>
      <c r="D15" s="241"/>
      <c r="E15" s="241"/>
      <c r="F15" s="242"/>
      <c r="G15" s="243">
        <f t="shared" si="0"/>
        <v>4088</v>
      </c>
      <c r="H15" s="238"/>
    </row>
    <row r="16" spans="1:10" ht="20.100000000000001" customHeight="1" x14ac:dyDescent="0.2">
      <c r="A16" s="239"/>
      <c r="B16" s="245"/>
      <c r="C16" s="241"/>
      <c r="D16" s="241"/>
      <c r="E16" s="241"/>
      <c r="F16" s="242"/>
      <c r="G16" s="243">
        <f t="shared" si="0"/>
        <v>0</v>
      </c>
      <c r="H16" s="238"/>
    </row>
    <row r="17" spans="1:8" ht="20.100000000000001" customHeight="1" x14ac:dyDescent="0.2">
      <c r="A17" s="239"/>
      <c r="B17" s="245"/>
      <c r="C17" s="241"/>
      <c r="D17" s="241"/>
      <c r="E17" s="241"/>
      <c r="F17" s="242"/>
      <c r="G17" s="243">
        <f t="shared" si="0"/>
        <v>0</v>
      </c>
      <c r="H17" s="238"/>
    </row>
    <row r="18" spans="1:8" ht="20.100000000000001" customHeight="1" x14ac:dyDescent="0.2">
      <c r="A18" s="239"/>
      <c r="B18" s="245"/>
      <c r="C18" s="241"/>
      <c r="D18" s="241"/>
      <c r="E18" s="241"/>
      <c r="F18" s="242"/>
      <c r="G18" s="243">
        <f t="shared" si="0"/>
        <v>0</v>
      </c>
      <c r="H18" s="238"/>
    </row>
    <row r="19" spans="1:8" ht="20.100000000000001" customHeight="1" x14ac:dyDescent="0.2">
      <c r="A19" s="239"/>
      <c r="B19" s="245"/>
      <c r="C19" s="246"/>
      <c r="D19" s="241"/>
      <c r="E19" s="241"/>
      <c r="F19" s="242"/>
      <c r="G19" s="243">
        <f t="shared" si="0"/>
        <v>0</v>
      </c>
      <c r="H19" s="238"/>
    </row>
    <row r="20" spans="1:8" ht="20.100000000000001" customHeight="1" x14ac:dyDescent="0.2">
      <c r="A20" s="239"/>
      <c r="B20" s="245"/>
      <c r="C20" s="246"/>
      <c r="D20" s="241"/>
      <c r="E20" s="241"/>
      <c r="F20" s="242"/>
      <c r="G20" s="243">
        <f t="shared" si="0"/>
        <v>0</v>
      </c>
      <c r="H20" s="238"/>
    </row>
    <row r="21" spans="1:8" ht="20.100000000000001" customHeight="1" x14ac:dyDescent="0.2">
      <c r="A21" s="239"/>
      <c r="B21" s="245"/>
      <c r="C21" s="246"/>
      <c r="D21" s="246"/>
      <c r="E21" s="246"/>
      <c r="F21" s="247"/>
      <c r="G21" s="243">
        <f t="shared" si="0"/>
        <v>0</v>
      </c>
      <c r="H21" s="238"/>
    </row>
    <row r="22" spans="1:8" ht="20.100000000000001" customHeight="1" thickBot="1" x14ac:dyDescent="0.25">
      <c r="A22" s="239"/>
      <c r="B22" s="248"/>
      <c r="C22" s="249"/>
      <c r="D22" s="250"/>
      <c r="E22" s="250"/>
      <c r="F22" s="251"/>
      <c r="G22" s="252">
        <f t="shared" si="0"/>
        <v>0</v>
      </c>
      <c r="H22" s="238"/>
    </row>
    <row r="23" spans="1:8" ht="20.100000000000001" customHeight="1" x14ac:dyDescent="0.2">
      <c r="A23" s="253" t="s">
        <v>445</v>
      </c>
      <c r="B23" s="254">
        <f>SUM(B7:B22)</f>
        <v>21593</v>
      </c>
      <c r="C23" s="255">
        <f>SUM(C8:C22)</f>
        <v>0</v>
      </c>
      <c r="D23" s="255">
        <f>SUM(D8:D22)</f>
        <v>0</v>
      </c>
      <c r="E23" s="255">
        <f>SUM(E8:E22)</f>
        <v>0</v>
      </c>
      <c r="F23" s="256">
        <f>SUM(F8:F22)</f>
        <v>0</v>
      </c>
      <c r="G23" s="257">
        <f t="shared" si="0"/>
        <v>21593</v>
      </c>
      <c r="H23" s="238"/>
    </row>
    <row r="24" spans="1:8" ht="20.100000000000001" customHeight="1" thickBot="1" x14ac:dyDescent="0.25">
      <c r="A24" s="258" t="s">
        <v>446</v>
      </c>
      <c r="B24" s="259">
        <f>+'Daytona Report'!O262</f>
        <v>19546</v>
      </c>
      <c r="C24" s="260"/>
      <c r="D24" s="260"/>
      <c r="E24" s="260"/>
      <c r="F24" s="261"/>
      <c r="G24" s="262">
        <f t="shared" si="0"/>
        <v>19546</v>
      </c>
      <c r="H24" s="238"/>
    </row>
    <row r="25" spans="1:8" ht="24" customHeight="1" thickBot="1" x14ac:dyDescent="0.25">
      <c r="A25" s="263" t="s">
        <v>447</v>
      </c>
      <c r="B25" s="264">
        <f t="shared" ref="B25:G25" si="1">-(B24-B23)</f>
        <v>2047</v>
      </c>
      <c r="C25" s="264">
        <f t="shared" si="1"/>
        <v>0</v>
      </c>
      <c r="D25" s="264">
        <f t="shared" si="1"/>
        <v>0</v>
      </c>
      <c r="E25" s="264">
        <f t="shared" si="1"/>
        <v>0</v>
      </c>
      <c r="F25" s="265">
        <f t="shared" si="1"/>
        <v>0</v>
      </c>
      <c r="G25" s="266">
        <f t="shared" si="1"/>
        <v>2047</v>
      </c>
    </row>
    <row r="26" spans="1:8" ht="18" customHeight="1" x14ac:dyDescent="0.2">
      <c r="A26" s="238"/>
      <c r="B26" s="267"/>
      <c r="C26" s="268"/>
      <c r="D26" s="268"/>
      <c r="E26" s="268"/>
      <c r="F26" s="268"/>
      <c r="G26" s="238"/>
    </row>
    <row r="27" spans="1:8" ht="18" customHeight="1" x14ac:dyDescent="0.2">
      <c r="B27" s="269"/>
      <c r="C27" s="270"/>
      <c r="D27" s="270"/>
      <c r="E27" s="270"/>
      <c r="F27" s="270"/>
    </row>
    <row r="28" spans="1:8" ht="18" customHeight="1" x14ac:dyDescent="0.25">
      <c r="A28" s="271"/>
      <c r="B28" s="272" t="s">
        <v>448</v>
      </c>
      <c r="C28" s="271"/>
      <c r="D28" s="270"/>
      <c r="E28" s="270"/>
      <c r="F28" s="270"/>
      <c r="G28" s="273"/>
    </row>
    <row r="29" spans="1:8" ht="18" customHeight="1" x14ac:dyDescent="0.2">
      <c r="A29" s="271"/>
      <c r="B29" s="274"/>
      <c r="C29" s="271"/>
      <c r="D29" s="270"/>
      <c r="E29" s="270"/>
      <c r="F29" s="270"/>
      <c r="G29" s="273"/>
    </row>
    <row r="30" spans="1:8" ht="18" x14ac:dyDescent="0.25">
      <c r="A30" s="271"/>
      <c r="B30" s="275" t="s">
        <v>449</v>
      </c>
      <c r="C30" s="276"/>
      <c r="D30" s="277"/>
      <c r="E30" s="277"/>
      <c r="F30" s="277"/>
      <c r="G30" s="278">
        <f>G24</f>
        <v>19546</v>
      </c>
    </row>
    <row r="31" spans="1:8" ht="18" x14ac:dyDescent="0.25">
      <c r="A31" s="271"/>
      <c r="B31" s="279"/>
      <c r="C31" s="280"/>
      <c r="D31" s="268"/>
      <c r="E31" s="268"/>
      <c r="F31" s="268"/>
      <c r="G31" s="281"/>
    </row>
    <row r="32" spans="1:8" ht="18" x14ac:dyDescent="0.25">
      <c r="A32" s="271"/>
      <c r="B32" s="275" t="s">
        <v>450</v>
      </c>
      <c r="C32" s="276"/>
      <c r="D32" s="277"/>
      <c r="E32" s="277"/>
      <c r="F32" s="277"/>
      <c r="G32" s="282">
        <f>+'Daytona Report'!K265</f>
        <v>1344</v>
      </c>
    </row>
    <row r="33" spans="1:10" ht="18" x14ac:dyDescent="0.25">
      <c r="A33" s="271"/>
      <c r="B33" s="279"/>
      <c r="C33" s="280"/>
      <c r="D33" s="268"/>
      <c r="E33" s="268"/>
      <c r="F33" s="268"/>
      <c r="G33" s="281"/>
    </row>
    <row r="34" spans="1:10" ht="18" x14ac:dyDescent="0.25">
      <c r="A34" s="271"/>
      <c r="B34" s="274" t="s">
        <v>451</v>
      </c>
      <c r="C34" s="271"/>
      <c r="D34" s="270"/>
      <c r="E34" s="270"/>
      <c r="F34" s="270"/>
      <c r="G34" s="281">
        <f>ROUND((G30-G32)-(G30-G32)/1.065,2)</f>
        <v>1110.92</v>
      </c>
    </row>
    <row r="35" spans="1:10" ht="18" x14ac:dyDescent="0.25">
      <c r="A35" s="271"/>
      <c r="B35" s="275" t="s">
        <v>452</v>
      </c>
      <c r="C35" s="276"/>
      <c r="D35" s="277"/>
      <c r="E35" s="277"/>
      <c r="F35" s="277"/>
      <c r="G35" s="278">
        <f>G30-G32-G34</f>
        <v>17091.080000000002</v>
      </c>
    </row>
    <row r="36" spans="1:10" ht="18.75" thickBot="1" x14ac:dyDescent="0.3">
      <c r="A36" s="271"/>
      <c r="B36" s="274" t="s">
        <v>453</v>
      </c>
      <c r="C36" s="271"/>
      <c r="D36" s="270"/>
      <c r="E36" s="270"/>
      <c r="F36" s="270"/>
      <c r="G36" s="281">
        <f>G32+G35</f>
        <v>18435.080000000002</v>
      </c>
      <c r="H36" s="273"/>
    </row>
    <row r="37" spans="1:10" ht="15.75" thickTop="1" x14ac:dyDescent="0.2">
      <c r="A37" s="271"/>
      <c r="B37" s="274" t="s">
        <v>454</v>
      </c>
      <c r="C37" s="271"/>
      <c r="D37" s="270"/>
      <c r="E37" s="270"/>
      <c r="F37" s="270"/>
      <c r="G37" s="283">
        <v>0</v>
      </c>
    </row>
    <row r="38" spans="1:10" ht="18" x14ac:dyDescent="0.25">
      <c r="A38" s="271"/>
      <c r="B38" s="274" t="s">
        <v>455</v>
      </c>
      <c r="C38" s="271"/>
      <c r="D38" s="270"/>
      <c r="E38" s="270"/>
      <c r="F38" s="270"/>
      <c r="G38" s="284">
        <f>ROUND(G36*0.1,2)</f>
        <v>1843.51</v>
      </c>
    </row>
    <row r="39" spans="1:10" ht="18" x14ac:dyDescent="0.25">
      <c r="A39" s="271"/>
      <c r="B39" s="274" t="str">
        <f>IF(G2+G25&lt;0,"Less Cash Shortage","No Shortage Applied")</f>
        <v>No Shortage Applied</v>
      </c>
      <c r="C39" s="271"/>
      <c r="D39" s="270"/>
      <c r="E39" s="270"/>
      <c r="F39" s="270"/>
      <c r="G39" s="281">
        <f>IF((G25)&lt;0,(G25),0)</f>
        <v>0</v>
      </c>
    </row>
    <row r="40" spans="1:10" ht="15.75" x14ac:dyDescent="0.25">
      <c r="A40" s="271"/>
      <c r="B40" s="274"/>
      <c r="C40" s="271"/>
      <c r="D40" s="270"/>
      <c r="E40" s="270"/>
      <c r="F40" s="270"/>
      <c r="G40" s="285"/>
      <c r="I40" s="286" t="s">
        <v>456</v>
      </c>
      <c r="J40" s="287"/>
    </row>
    <row r="41" spans="1:10" ht="15.75" x14ac:dyDescent="0.25">
      <c r="A41" s="271"/>
      <c r="B41" s="274">
        <f>IF(G41&gt;0,"Add 1% Accuracy Incentive",0)</f>
        <v>0</v>
      </c>
      <c r="C41" s="271"/>
      <c r="D41" s="270"/>
      <c r="E41" s="270"/>
      <c r="F41" s="270"/>
      <c r="G41" s="288">
        <f>IF(ABS(G25)&lt;=G30*0.01,G36*0.01,0)</f>
        <v>0</v>
      </c>
      <c r="I41" s="289" t="s">
        <v>457</v>
      </c>
      <c r="J41" s="287"/>
    </row>
    <row r="42" spans="1:10" ht="15.75" x14ac:dyDescent="0.25">
      <c r="A42" s="271"/>
      <c r="B42" s="274">
        <f>IF(G42&gt;0,"Discretionary Bonus",0)</f>
        <v>0</v>
      </c>
      <c r="C42" s="271"/>
      <c r="D42" s="270"/>
      <c r="E42" s="270"/>
      <c r="F42" s="270"/>
      <c r="G42" s="290"/>
      <c r="I42" s="289" t="s">
        <v>458</v>
      </c>
      <c r="J42" s="291">
        <f>ROUND(J40-J41,2)</f>
        <v>0</v>
      </c>
    </row>
    <row r="43" spans="1:10" ht="15.75" x14ac:dyDescent="0.25">
      <c r="A43" s="271"/>
      <c r="B43" s="274">
        <f>IF(G43&gt;0,"Event Postponement Bonus (2% of rain delay net sales)",0)</f>
        <v>0</v>
      </c>
      <c r="C43" s="271"/>
      <c r="D43" s="270"/>
      <c r="E43" s="270"/>
      <c r="F43" s="270"/>
      <c r="G43" s="288">
        <f>J43</f>
        <v>0</v>
      </c>
      <c r="I43" s="292" t="s">
        <v>459</v>
      </c>
      <c r="J43" s="293">
        <f>ROUND(J42*0.02,2)</f>
        <v>0</v>
      </c>
    </row>
    <row r="44" spans="1:10" ht="15.75" x14ac:dyDescent="0.25">
      <c r="A44" s="271"/>
      <c r="B44" s="274">
        <f>IF(G44&gt;0,"Event Postponement Staffing Bonus ($100.00 per person)",0)</f>
        <v>0</v>
      </c>
      <c r="C44" s="271"/>
      <c r="D44" s="270"/>
      <c r="E44" s="270"/>
      <c r="F44" s="270"/>
      <c r="G44" s="288"/>
      <c r="I44" s="292"/>
      <c r="J44" s="293"/>
    </row>
    <row r="45" spans="1:10" ht="15.75" x14ac:dyDescent="0.25">
      <c r="A45" s="271"/>
      <c r="C45" s="271"/>
      <c r="D45" s="270"/>
      <c r="E45" s="270"/>
      <c r="F45" s="270"/>
      <c r="G45" s="290"/>
    </row>
    <row r="46" spans="1:10" ht="15.75" x14ac:dyDescent="0.25">
      <c r="A46" s="271"/>
      <c r="B46" s="274"/>
      <c r="C46" s="271"/>
      <c r="D46" s="270"/>
      <c r="E46" s="270"/>
      <c r="F46" s="270"/>
      <c r="G46" s="290"/>
    </row>
    <row r="47" spans="1:10" ht="15.75" x14ac:dyDescent="0.25">
      <c r="A47" s="271"/>
      <c r="B47" s="294" t="s">
        <v>460</v>
      </c>
      <c r="C47" s="295"/>
      <c r="D47" s="296"/>
      <c r="E47" s="296"/>
      <c r="F47" s="296"/>
      <c r="G47" s="297">
        <f>SUM(G38:G44)</f>
        <v>1843.51</v>
      </c>
      <c r="H47" s="238"/>
    </row>
    <row r="48" spans="1:10" x14ac:dyDescent="0.2">
      <c r="A48" s="271"/>
      <c r="B48" s="280"/>
      <c r="C48" s="280"/>
      <c r="D48" s="268"/>
      <c r="E48" s="268"/>
      <c r="F48" s="268"/>
      <c r="G48" s="238"/>
    </row>
    <row r="49" spans="1:8" ht="15.75" x14ac:dyDescent="0.25">
      <c r="A49" s="271"/>
      <c r="B49" s="298" t="s">
        <v>461</v>
      </c>
      <c r="C49" s="280"/>
      <c r="D49" s="268"/>
      <c r="E49" s="268"/>
      <c r="F49" s="268"/>
      <c r="G49" s="238"/>
    </row>
    <row r="50" spans="1:8" ht="15.75" x14ac:dyDescent="0.25">
      <c r="A50" s="271"/>
      <c r="B50" s="274" t="s">
        <v>462</v>
      </c>
      <c r="C50" s="271"/>
      <c r="D50" s="270"/>
      <c r="E50" s="270"/>
      <c r="F50" s="299"/>
      <c r="G50" s="300">
        <f>-F50*4.5</f>
        <v>0</v>
      </c>
    </row>
    <row r="51" spans="1:8" ht="15.75" x14ac:dyDescent="0.25">
      <c r="A51" s="271"/>
      <c r="B51" s="274" t="s">
        <v>463</v>
      </c>
      <c r="C51" s="271"/>
      <c r="D51" s="270"/>
      <c r="E51" s="270"/>
      <c r="F51" s="301">
        <v>5</v>
      </c>
      <c r="G51" s="300">
        <f>-F51*1.75</f>
        <v>-8.75</v>
      </c>
    </row>
    <row r="52" spans="1:8" ht="15.75" thickBot="1" x14ac:dyDescent="0.25">
      <c r="A52" s="271"/>
      <c r="B52" s="280"/>
      <c r="C52" s="280"/>
      <c r="D52" s="268"/>
      <c r="E52" s="268"/>
      <c r="F52" s="268"/>
      <c r="G52" s="238"/>
    </row>
    <row r="53" spans="1:8" ht="19.5" thickTop="1" thickBot="1" x14ac:dyDescent="0.3">
      <c r="A53" s="271"/>
      <c r="B53" s="302" t="s">
        <v>464</v>
      </c>
      <c r="C53" s="303"/>
      <c r="D53" s="304"/>
      <c r="E53" s="304"/>
      <c r="F53" s="304"/>
      <c r="G53" s="305">
        <f>SUM(G47:G51)</f>
        <v>1834.76</v>
      </c>
    </row>
    <row r="54" spans="1:8" ht="15.75" thickTop="1" x14ac:dyDescent="0.2">
      <c r="A54" s="306"/>
      <c r="B54" s="271"/>
      <c r="C54" s="271"/>
      <c r="D54" s="270"/>
      <c r="E54" s="270"/>
      <c r="F54" s="270"/>
    </row>
    <row r="55" spans="1:8" x14ac:dyDescent="0.2">
      <c r="A55" s="271"/>
      <c r="B55" s="307" t="s">
        <v>422</v>
      </c>
      <c r="C55" s="308" t="s">
        <v>465</v>
      </c>
      <c r="D55" s="309"/>
      <c r="E55" s="309"/>
      <c r="F55" s="309"/>
      <c r="G55" s="309" t="s">
        <v>424</v>
      </c>
      <c r="H55" s="310"/>
    </row>
    <row r="56" spans="1:8" x14ac:dyDescent="0.2">
      <c r="A56" s="271"/>
      <c r="B56" s="311"/>
      <c r="C56" s="271"/>
      <c r="D56" s="270"/>
      <c r="E56" s="270"/>
      <c r="F56" s="270"/>
      <c r="H56" s="310"/>
    </row>
    <row r="57" spans="1:8" x14ac:dyDescent="0.2">
      <c r="A57" s="271"/>
      <c r="B57" s="311" t="s">
        <v>484</v>
      </c>
      <c r="C57" s="271"/>
      <c r="D57" s="271" t="s">
        <v>485</v>
      </c>
      <c r="G57" s="273">
        <f>+G47</f>
        <v>1843.51</v>
      </c>
      <c r="H57" s="310"/>
    </row>
    <row r="58" spans="1:8" x14ac:dyDescent="0.2">
      <c r="A58" s="271"/>
      <c r="B58" s="311"/>
      <c r="C58" s="271"/>
      <c r="D58" s="270"/>
      <c r="E58" s="270"/>
      <c r="F58" s="270"/>
      <c r="H58" s="310"/>
    </row>
    <row r="59" spans="1:8" x14ac:dyDescent="0.2">
      <c r="A59" s="271"/>
      <c r="B59" s="311"/>
      <c r="C59" s="271"/>
      <c r="D59" s="271"/>
      <c r="E59" s="270"/>
      <c r="F59" s="270"/>
      <c r="G59" s="273"/>
      <c r="H59" s="310"/>
    </row>
    <row r="60" spans="1:8" x14ac:dyDescent="0.2">
      <c r="A60" s="271"/>
      <c r="B60" s="311"/>
      <c r="C60" s="271"/>
      <c r="D60" s="271"/>
      <c r="E60" s="270"/>
      <c r="F60" s="270"/>
      <c r="H60" s="310"/>
    </row>
    <row r="61" spans="1:8" x14ac:dyDescent="0.2">
      <c r="A61" s="271"/>
      <c r="B61" s="311" t="s">
        <v>430</v>
      </c>
      <c r="C61" s="271"/>
      <c r="D61" s="271" t="s">
        <v>431</v>
      </c>
      <c r="E61" s="269"/>
      <c r="G61" s="312">
        <f>+G51+G50</f>
        <v>-8.75</v>
      </c>
      <c r="H61" s="313"/>
    </row>
    <row r="62" spans="1:8" x14ac:dyDescent="0.2">
      <c r="A62" s="271"/>
      <c r="B62" s="311"/>
      <c r="C62" s="271"/>
      <c r="D62" s="270"/>
      <c r="E62" s="270"/>
      <c r="F62" s="270"/>
      <c r="H62" s="310"/>
    </row>
    <row r="63" spans="1:8" x14ac:dyDescent="0.2">
      <c r="A63" s="271"/>
      <c r="B63" s="311" t="s">
        <v>433</v>
      </c>
      <c r="C63" s="271"/>
      <c r="D63" s="270"/>
      <c r="E63" s="270"/>
      <c r="F63" s="270"/>
      <c r="G63" s="273">
        <f>SUM(G57:G61)</f>
        <v>1834.76</v>
      </c>
      <c r="H63" s="310"/>
    </row>
    <row r="64" spans="1:8" x14ac:dyDescent="0.2">
      <c r="A64" s="271"/>
      <c r="B64" s="308"/>
      <c r="C64" s="308"/>
      <c r="D64" s="309"/>
      <c r="E64" s="309"/>
      <c r="F64" s="309"/>
      <c r="G64" s="314"/>
    </row>
    <row r="65" spans="1:6" x14ac:dyDescent="0.2">
      <c r="B65" s="270"/>
      <c r="C65" s="270"/>
      <c r="D65" s="270"/>
      <c r="E65" s="270"/>
      <c r="F65" s="270"/>
    </row>
    <row r="66" spans="1:6" x14ac:dyDescent="0.2">
      <c r="B66" s="270"/>
      <c r="C66" s="270"/>
      <c r="D66" s="270"/>
      <c r="E66" s="270"/>
      <c r="F66" s="270"/>
    </row>
    <row r="67" spans="1:6" x14ac:dyDescent="0.2">
      <c r="B67" s="270"/>
      <c r="C67" s="270"/>
      <c r="D67" s="270"/>
      <c r="E67" s="270"/>
      <c r="F67" s="270"/>
    </row>
    <row r="68" spans="1:6" x14ac:dyDescent="0.2">
      <c r="B68" s="270"/>
      <c r="C68" s="270"/>
      <c r="D68" s="270"/>
      <c r="E68" s="270"/>
      <c r="F68" s="270"/>
    </row>
    <row r="69" spans="1:6" x14ac:dyDescent="0.2">
      <c r="A69" s="217" t="s">
        <v>454</v>
      </c>
      <c r="B69" s="270"/>
      <c r="C69" s="270"/>
      <c r="D69" s="270"/>
      <c r="E69" s="270"/>
      <c r="F69" s="270"/>
    </row>
    <row r="70" spans="1:6" x14ac:dyDescent="0.2">
      <c r="B70" s="270"/>
      <c r="C70" s="270"/>
      <c r="D70" s="270"/>
      <c r="E70" s="270"/>
      <c r="F70" s="270"/>
    </row>
    <row r="71" spans="1:6" x14ac:dyDescent="0.2">
      <c r="B71" s="270"/>
      <c r="C71" s="270"/>
      <c r="D71" s="270"/>
      <c r="E71" s="270"/>
      <c r="F71" s="270"/>
    </row>
    <row r="72" spans="1:6" x14ac:dyDescent="0.2">
      <c r="B72" s="270"/>
      <c r="C72" s="270"/>
      <c r="D72" s="270"/>
      <c r="E72" s="270"/>
      <c r="F72" s="270"/>
    </row>
    <row r="73" spans="1:6" x14ac:dyDescent="0.2">
      <c r="B73" s="270"/>
      <c r="C73" s="270"/>
      <c r="D73" s="270"/>
      <c r="E73" s="270"/>
      <c r="F73" s="270"/>
    </row>
    <row r="74" spans="1:6" x14ac:dyDescent="0.2">
      <c r="B74" s="270"/>
      <c r="C74" s="270"/>
      <c r="D74" s="270"/>
      <c r="E74" s="270"/>
      <c r="F74" s="270"/>
    </row>
    <row r="75" spans="1:6" x14ac:dyDescent="0.2">
      <c r="B75" s="270"/>
      <c r="C75" s="270"/>
      <c r="D75" s="270"/>
      <c r="E75" s="270"/>
      <c r="F75" s="270"/>
    </row>
    <row r="76" spans="1:6" x14ac:dyDescent="0.2">
      <c r="B76" s="270"/>
      <c r="C76" s="270"/>
      <c r="D76" s="270"/>
      <c r="E76" s="270"/>
      <c r="F76" s="270"/>
    </row>
    <row r="77" spans="1:6" x14ac:dyDescent="0.2">
      <c r="B77" s="270"/>
      <c r="C77" s="270"/>
      <c r="D77" s="270"/>
      <c r="E77" s="270"/>
      <c r="F77" s="270"/>
    </row>
    <row r="78" spans="1:6" x14ac:dyDescent="0.2">
      <c r="B78" s="270"/>
      <c r="C78" s="270"/>
      <c r="D78" s="270"/>
      <c r="E78" s="270"/>
      <c r="F78" s="270"/>
    </row>
    <row r="79" spans="1:6" x14ac:dyDescent="0.2">
      <c r="B79" s="270"/>
      <c r="C79" s="270"/>
      <c r="D79" s="270"/>
      <c r="E79" s="270"/>
      <c r="F79" s="270"/>
    </row>
    <row r="80" spans="1:6" x14ac:dyDescent="0.2">
      <c r="B80" s="270"/>
      <c r="C80" s="270"/>
      <c r="D80" s="270"/>
      <c r="E80" s="270"/>
      <c r="F80" s="270"/>
    </row>
    <row r="81" spans="2:6" x14ac:dyDescent="0.2">
      <c r="B81" s="270"/>
      <c r="C81" s="270"/>
      <c r="D81" s="270"/>
      <c r="E81" s="270"/>
      <c r="F81" s="270"/>
    </row>
    <row r="82" spans="2:6" x14ac:dyDescent="0.2">
      <c r="B82" s="270"/>
      <c r="C82" s="270"/>
      <c r="D82" s="270"/>
      <c r="E82" s="270"/>
      <c r="F82" s="270"/>
    </row>
    <row r="83" spans="2:6" x14ac:dyDescent="0.2">
      <c r="B83" s="270"/>
      <c r="C83" s="270"/>
      <c r="D83" s="270"/>
      <c r="E83" s="270"/>
      <c r="F83" s="270"/>
    </row>
    <row r="84" spans="2:6" x14ac:dyDescent="0.2">
      <c r="B84" s="270"/>
      <c r="C84" s="270"/>
      <c r="D84" s="270"/>
      <c r="E84" s="270"/>
      <c r="F84" s="270"/>
    </row>
    <row r="85" spans="2:6" x14ac:dyDescent="0.2">
      <c r="B85" s="270"/>
      <c r="C85" s="270"/>
      <c r="D85" s="270"/>
      <c r="E85" s="270"/>
      <c r="F85" s="270"/>
    </row>
    <row r="86" spans="2:6" x14ac:dyDescent="0.2">
      <c r="B86" s="270"/>
      <c r="C86" s="270"/>
      <c r="D86" s="270"/>
      <c r="E86" s="270"/>
      <c r="F86" s="270"/>
    </row>
    <row r="87" spans="2:6" x14ac:dyDescent="0.2">
      <c r="B87" s="270"/>
      <c r="C87" s="270"/>
      <c r="D87" s="270"/>
      <c r="E87" s="270"/>
      <c r="F87" s="270"/>
    </row>
    <row r="88" spans="2:6" x14ac:dyDescent="0.2">
      <c r="B88" s="270"/>
      <c r="C88" s="270"/>
      <c r="D88" s="270"/>
      <c r="E88" s="270"/>
      <c r="F88" s="270"/>
    </row>
    <row r="89" spans="2:6" x14ac:dyDescent="0.2">
      <c r="B89" s="270"/>
      <c r="C89" s="270"/>
      <c r="D89" s="270"/>
      <c r="E89" s="270"/>
      <c r="F89" s="270"/>
    </row>
    <row r="90" spans="2:6" x14ac:dyDescent="0.2">
      <c r="B90" s="270"/>
      <c r="C90" s="270"/>
      <c r="D90" s="270"/>
      <c r="E90" s="270"/>
      <c r="F90" s="270"/>
    </row>
    <row r="91" spans="2:6" x14ac:dyDescent="0.2">
      <c r="B91" s="270"/>
      <c r="C91" s="270"/>
      <c r="D91" s="270"/>
      <c r="E91" s="270"/>
      <c r="F91" s="270"/>
    </row>
    <row r="92" spans="2:6" x14ac:dyDescent="0.2">
      <c r="B92" s="270"/>
      <c r="C92" s="270"/>
      <c r="D92" s="270"/>
      <c r="E92" s="270"/>
      <c r="F92" s="270"/>
    </row>
    <row r="93" spans="2:6" x14ac:dyDescent="0.2">
      <c r="B93" s="270"/>
      <c r="C93" s="270"/>
      <c r="D93" s="270"/>
      <c r="E93" s="270"/>
      <c r="F93" s="270"/>
    </row>
    <row r="94" spans="2:6" x14ac:dyDescent="0.2">
      <c r="B94" s="270"/>
      <c r="C94" s="270"/>
      <c r="D94" s="270"/>
      <c r="E94" s="270"/>
      <c r="F94" s="270"/>
    </row>
    <row r="95" spans="2:6" x14ac:dyDescent="0.2">
      <c r="B95" s="270"/>
      <c r="C95" s="270"/>
      <c r="D95" s="270"/>
      <c r="E95" s="270"/>
      <c r="F95" s="270"/>
    </row>
    <row r="96" spans="2:6" x14ac:dyDescent="0.2">
      <c r="B96" s="270"/>
      <c r="C96" s="270"/>
      <c r="D96" s="270"/>
      <c r="E96" s="270"/>
      <c r="F96" s="270"/>
    </row>
    <row r="97" spans="2:6" x14ac:dyDescent="0.2">
      <c r="B97" s="270"/>
      <c r="C97" s="270"/>
      <c r="D97" s="270"/>
      <c r="E97" s="270"/>
      <c r="F97" s="270"/>
    </row>
    <row r="98" spans="2:6" x14ac:dyDescent="0.2">
      <c r="B98" s="270"/>
      <c r="C98" s="270"/>
      <c r="D98" s="270"/>
      <c r="E98" s="270"/>
      <c r="F98" s="270"/>
    </row>
    <row r="99" spans="2:6" x14ac:dyDescent="0.2">
      <c r="B99" s="270"/>
      <c r="C99" s="270"/>
      <c r="D99" s="270"/>
      <c r="E99" s="270"/>
      <c r="F99" s="270"/>
    </row>
    <row r="100" spans="2:6" x14ac:dyDescent="0.2">
      <c r="B100" s="270"/>
      <c r="C100" s="270"/>
      <c r="D100" s="270"/>
      <c r="E100" s="270"/>
      <c r="F100" s="270"/>
    </row>
    <row r="101" spans="2:6" x14ac:dyDescent="0.2">
      <c r="B101" s="270"/>
      <c r="C101" s="270"/>
      <c r="D101" s="270"/>
      <c r="E101" s="270"/>
      <c r="F101" s="270"/>
    </row>
    <row r="102" spans="2:6" x14ac:dyDescent="0.2">
      <c r="B102" s="270"/>
      <c r="C102" s="270"/>
      <c r="D102" s="270"/>
      <c r="E102" s="270"/>
      <c r="F102" s="270"/>
    </row>
    <row r="103" spans="2:6" x14ac:dyDescent="0.2">
      <c r="B103" s="270"/>
      <c r="C103" s="270"/>
      <c r="D103" s="270"/>
      <c r="E103" s="270"/>
      <c r="F103" s="270"/>
    </row>
    <row r="104" spans="2:6" x14ac:dyDescent="0.2">
      <c r="B104" s="270"/>
      <c r="C104" s="270"/>
      <c r="D104" s="270"/>
      <c r="E104" s="270"/>
      <c r="F104" s="270"/>
    </row>
    <row r="105" spans="2:6" x14ac:dyDescent="0.2">
      <c r="B105" s="270"/>
      <c r="C105" s="270"/>
      <c r="D105" s="270"/>
      <c r="E105" s="270"/>
      <c r="F105" s="270"/>
    </row>
    <row r="106" spans="2:6" x14ac:dyDescent="0.2">
      <c r="B106" s="270"/>
      <c r="C106" s="270"/>
      <c r="D106" s="270"/>
      <c r="E106" s="270"/>
      <c r="F106" s="270"/>
    </row>
    <row r="107" spans="2:6" x14ac:dyDescent="0.2">
      <c r="B107" s="270"/>
      <c r="C107" s="270"/>
      <c r="D107" s="270"/>
      <c r="E107" s="270"/>
      <c r="F107" s="270"/>
    </row>
    <row r="108" spans="2:6" x14ac:dyDescent="0.2">
      <c r="B108" s="270"/>
      <c r="C108" s="270"/>
      <c r="D108" s="270"/>
      <c r="E108" s="270"/>
      <c r="F108" s="270"/>
    </row>
    <row r="109" spans="2:6" x14ac:dyDescent="0.2">
      <c r="B109" s="270"/>
      <c r="C109" s="270"/>
      <c r="D109" s="270"/>
      <c r="E109" s="270"/>
      <c r="F109" s="270"/>
    </row>
    <row r="110" spans="2:6" x14ac:dyDescent="0.2">
      <c r="B110" s="270"/>
      <c r="C110" s="270"/>
      <c r="D110" s="270"/>
      <c r="E110" s="270"/>
      <c r="F110" s="270"/>
    </row>
    <row r="111" spans="2:6" x14ac:dyDescent="0.2">
      <c r="B111" s="270"/>
      <c r="C111" s="270"/>
      <c r="D111" s="270"/>
      <c r="E111" s="270"/>
      <c r="F111" s="270"/>
    </row>
    <row r="112" spans="2:6" x14ac:dyDescent="0.2">
      <c r="B112" s="270"/>
      <c r="C112" s="270"/>
      <c r="D112" s="270"/>
      <c r="E112" s="270"/>
      <c r="F112" s="270"/>
    </row>
    <row r="113" spans="2:6" x14ac:dyDescent="0.2">
      <c r="B113" s="270"/>
      <c r="C113" s="270"/>
      <c r="D113" s="270"/>
      <c r="E113" s="270"/>
      <c r="F113" s="270"/>
    </row>
    <row r="114" spans="2:6" x14ac:dyDescent="0.2">
      <c r="B114" s="270"/>
      <c r="C114" s="270"/>
      <c r="D114" s="270"/>
      <c r="E114" s="270"/>
      <c r="F114" s="270"/>
    </row>
    <row r="115" spans="2:6" x14ac:dyDescent="0.2">
      <c r="B115" s="270"/>
      <c r="C115" s="270"/>
      <c r="D115" s="270"/>
      <c r="E115" s="270"/>
      <c r="F115" s="270"/>
    </row>
    <row r="116" spans="2:6" x14ac:dyDescent="0.2">
      <c r="B116" s="270"/>
      <c r="C116" s="270"/>
      <c r="D116" s="270"/>
      <c r="E116" s="270"/>
      <c r="F116" s="270"/>
    </row>
    <row r="117" spans="2:6" x14ac:dyDescent="0.2">
      <c r="B117" s="270"/>
      <c r="C117" s="270"/>
      <c r="D117" s="270"/>
      <c r="E117" s="270"/>
      <c r="F117" s="270"/>
    </row>
    <row r="118" spans="2:6" x14ac:dyDescent="0.2">
      <c r="B118" s="270"/>
      <c r="C118" s="270"/>
      <c r="D118" s="270"/>
      <c r="E118" s="270"/>
      <c r="F118" s="270"/>
    </row>
    <row r="119" spans="2:6" x14ac:dyDescent="0.2">
      <c r="B119" s="270"/>
      <c r="C119" s="270"/>
      <c r="D119" s="270"/>
      <c r="E119" s="270"/>
      <c r="F119" s="270"/>
    </row>
  </sheetData>
  <mergeCells count="2">
    <mergeCell ref="A3:G3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E2" sqref="E2:E20"/>
    </sheetView>
  </sheetViews>
  <sheetFormatPr defaultRowHeight="15" x14ac:dyDescent="0.25"/>
  <cols>
    <col min="1" max="1" width="9.7109375" bestFit="1" customWidth="1"/>
    <col min="2" max="2" width="23" bestFit="1" customWidth="1"/>
    <col min="3" max="3" width="18.28515625" bestFit="1" customWidth="1"/>
    <col min="4" max="5" width="9.140625" style="5"/>
  </cols>
  <sheetData>
    <row r="1" spans="1:5" x14ac:dyDescent="0.25">
      <c r="A1" t="s">
        <v>474</v>
      </c>
      <c r="B1" t="s">
        <v>33</v>
      </c>
      <c r="C1" t="s">
        <v>36</v>
      </c>
      <c r="D1" s="5" t="s">
        <v>34</v>
      </c>
      <c r="E1" s="5" t="s">
        <v>507</v>
      </c>
    </row>
    <row r="2" spans="1:5" x14ac:dyDescent="0.25">
      <c r="A2" s="316">
        <v>42070</v>
      </c>
      <c r="B2" t="s">
        <v>486</v>
      </c>
      <c r="C2" t="s">
        <v>56</v>
      </c>
      <c r="D2" s="5">
        <v>16.25</v>
      </c>
      <c r="E2" s="5">
        <f>ROUND(D2*'Reconcile Sheet'!$B$47,2)</f>
        <v>150.47999999999999</v>
      </c>
    </row>
    <row r="3" spans="1:5" x14ac:dyDescent="0.25">
      <c r="A3" s="316">
        <v>42070</v>
      </c>
      <c r="B3" t="s">
        <v>488</v>
      </c>
      <c r="C3" t="s">
        <v>489</v>
      </c>
      <c r="D3" s="5">
        <v>16.25</v>
      </c>
      <c r="E3" s="5">
        <f>ROUND(D3*'Reconcile Sheet'!$B$47,2)</f>
        <v>150.47999999999999</v>
      </c>
    </row>
    <row r="4" spans="1:5" x14ac:dyDescent="0.25">
      <c r="A4" s="316">
        <v>42070</v>
      </c>
      <c r="B4" t="s">
        <v>475</v>
      </c>
      <c r="C4" t="s">
        <v>489</v>
      </c>
      <c r="D4" s="5">
        <v>16.25</v>
      </c>
      <c r="E4" s="5">
        <f>ROUND(D4*'Reconcile Sheet'!$B$47,2)</f>
        <v>150.47999999999999</v>
      </c>
    </row>
    <row r="5" spans="1:5" x14ac:dyDescent="0.25">
      <c r="A5" s="316">
        <v>42070</v>
      </c>
      <c r="B5" t="s">
        <v>487</v>
      </c>
      <c r="C5" t="s">
        <v>489</v>
      </c>
      <c r="D5" s="5">
        <v>16.25</v>
      </c>
      <c r="E5" s="5">
        <f>ROUND(D5*'Reconcile Sheet'!$B$47,2)</f>
        <v>150.47999999999999</v>
      </c>
    </row>
    <row r="6" spans="1:5" x14ac:dyDescent="0.25">
      <c r="A6" s="316">
        <v>42070</v>
      </c>
      <c r="B6" t="s">
        <v>35</v>
      </c>
      <c r="C6" t="s">
        <v>37</v>
      </c>
      <c r="D6" s="5">
        <v>16.25</v>
      </c>
      <c r="E6" s="5">
        <f>ROUND(D6*'Reconcile Sheet'!$B$47,2)</f>
        <v>150.47999999999999</v>
      </c>
    </row>
    <row r="7" spans="1:5" x14ac:dyDescent="0.25">
      <c r="A7" s="316">
        <v>42070</v>
      </c>
      <c r="B7" t="s">
        <v>40</v>
      </c>
      <c r="C7" t="s">
        <v>490</v>
      </c>
      <c r="D7" s="5">
        <v>16.25</v>
      </c>
      <c r="E7" s="5">
        <f>ROUND(D7*'Reconcile Sheet'!$B$47,2)</f>
        <v>150.47999999999999</v>
      </c>
    </row>
    <row r="8" spans="1:5" x14ac:dyDescent="0.25">
      <c r="A8" s="316">
        <v>42070</v>
      </c>
      <c r="B8" t="s">
        <v>476</v>
      </c>
      <c r="C8" t="s">
        <v>39</v>
      </c>
      <c r="D8" s="5">
        <v>16.25</v>
      </c>
      <c r="E8" s="5">
        <f>ROUND(D8*'Reconcile Sheet'!$B$47,2)</f>
        <v>150.47999999999999</v>
      </c>
    </row>
    <row r="9" spans="1:5" x14ac:dyDescent="0.25">
      <c r="A9" s="316">
        <v>42077</v>
      </c>
      <c r="B9" t="s">
        <v>491</v>
      </c>
      <c r="C9" t="s">
        <v>500</v>
      </c>
      <c r="D9" s="5">
        <v>11.75</v>
      </c>
      <c r="E9" s="5">
        <f>ROUND(D9*'Reconcile Sheet'!$B$47,2)</f>
        <v>108.81</v>
      </c>
    </row>
    <row r="10" spans="1:5" x14ac:dyDescent="0.25">
      <c r="A10" s="316">
        <v>42077</v>
      </c>
      <c r="B10" t="s">
        <v>492</v>
      </c>
      <c r="C10" t="s">
        <v>501</v>
      </c>
      <c r="D10" s="5">
        <v>7.25</v>
      </c>
      <c r="E10" s="5">
        <f>ROUND(D10*'Reconcile Sheet'!$B$47,2)</f>
        <v>67.14</v>
      </c>
    </row>
    <row r="11" spans="1:5" x14ac:dyDescent="0.25">
      <c r="A11" s="316">
        <v>42077</v>
      </c>
      <c r="B11" t="s">
        <v>476</v>
      </c>
      <c r="C11" t="s">
        <v>39</v>
      </c>
      <c r="D11" s="5">
        <v>7.5</v>
      </c>
      <c r="E11" s="5">
        <f>ROUND(D11*'Reconcile Sheet'!$B$47,2)</f>
        <v>69.45</v>
      </c>
    </row>
    <row r="12" spans="1:5" x14ac:dyDescent="0.25">
      <c r="A12" s="316">
        <v>42077</v>
      </c>
      <c r="B12" t="s">
        <v>493</v>
      </c>
      <c r="C12" t="s">
        <v>502</v>
      </c>
      <c r="D12" s="5">
        <v>11.75</v>
      </c>
      <c r="E12" s="5">
        <f>ROUND(D12*'Reconcile Sheet'!$B$47,2)</f>
        <v>108.81</v>
      </c>
    </row>
    <row r="13" spans="1:5" x14ac:dyDescent="0.25">
      <c r="A13" s="316">
        <v>42077</v>
      </c>
      <c r="B13" t="s">
        <v>494</v>
      </c>
      <c r="C13" t="s">
        <v>503</v>
      </c>
      <c r="D13" s="5">
        <v>11</v>
      </c>
      <c r="E13" s="5">
        <f>ROUND(D13*'Reconcile Sheet'!$B$47,2)</f>
        <v>101.86</v>
      </c>
    </row>
    <row r="14" spans="1:5" x14ac:dyDescent="0.25">
      <c r="A14" s="316">
        <v>42077</v>
      </c>
      <c r="B14" t="s">
        <v>495</v>
      </c>
      <c r="C14" t="s">
        <v>503</v>
      </c>
      <c r="D14" s="5">
        <v>11</v>
      </c>
      <c r="E14" s="5">
        <f>ROUND(D14*'Reconcile Sheet'!$B$47,2)</f>
        <v>101.86</v>
      </c>
    </row>
    <row r="15" spans="1:5" x14ac:dyDescent="0.25">
      <c r="A15" s="316">
        <v>42077</v>
      </c>
      <c r="B15" t="s">
        <v>496</v>
      </c>
      <c r="C15" t="s">
        <v>496</v>
      </c>
      <c r="D15" s="5">
        <v>11.5</v>
      </c>
      <c r="E15" s="5">
        <f>ROUND(D15*'Reconcile Sheet'!$B$47,2)</f>
        <v>106.49</v>
      </c>
    </row>
    <row r="16" spans="1:5" x14ac:dyDescent="0.25">
      <c r="A16" s="316">
        <v>42077</v>
      </c>
      <c r="B16" t="s">
        <v>497</v>
      </c>
      <c r="C16" t="s">
        <v>496</v>
      </c>
      <c r="D16" s="5">
        <v>11.5</v>
      </c>
      <c r="E16" s="5">
        <f>ROUND(D16*'Reconcile Sheet'!$B$47,2)</f>
        <v>106.49</v>
      </c>
    </row>
    <row r="17" spans="1:5" x14ac:dyDescent="0.25">
      <c r="A17" s="316">
        <v>42077</v>
      </c>
      <c r="B17" t="s">
        <v>498</v>
      </c>
      <c r="C17" t="s">
        <v>39</v>
      </c>
      <c r="D17" s="5">
        <v>4</v>
      </c>
      <c r="E17" s="5">
        <f>ROUND(D17*'Reconcile Sheet'!$B$47,2)</f>
        <v>37.04</v>
      </c>
    </row>
    <row r="18" spans="1:5" x14ac:dyDescent="0.25">
      <c r="A18" s="316">
        <v>42077</v>
      </c>
      <c r="B18" t="s">
        <v>499</v>
      </c>
      <c r="C18" t="s">
        <v>39</v>
      </c>
      <c r="D18" s="5">
        <v>4</v>
      </c>
      <c r="E18" s="5">
        <f>ROUND(D18*'Reconcile Sheet'!$B$47,2)</f>
        <v>37.04</v>
      </c>
    </row>
    <row r="19" spans="1:5" x14ac:dyDescent="0.25">
      <c r="A19" s="316">
        <v>42069</v>
      </c>
      <c r="B19" t="s">
        <v>504</v>
      </c>
      <c r="C19" t="s">
        <v>39</v>
      </c>
      <c r="D19" s="5">
        <v>5</v>
      </c>
      <c r="E19" s="5">
        <f>ROUND(D19*'Reconcile Sheet'!$B$47,2)</f>
        <v>46.3</v>
      </c>
    </row>
    <row r="20" spans="1:5" x14ac:dyDescent="0.25">
      <c r="A20" s="316">
        <v>42076</v>
      </c>
      <c r="B20" t="s">
        <v>505</v>
      </c>
      <c r="C20" t="s">
        <v>500</v>
      </c>
      <c r="D20" s="5">
        <v>5</v>
      </c>
      <c r="E20" s="5">
        <f>ROUND(D20*'Reconcile Sheet'!$B$47,2)</f>
        <v>46.3</v>
      </c>
    </row>
    <row r="21" spans="1:5" x14ac:dyDescent="0.25">
      <c r="B21" t="s">
        <v>41</v>
      </c>
      <c r="D21" s="5">
        <f>SUM(D2:D20)</f>
        <v>215</v>
      </c>
      <c r="E21" s="5">
        <f>SUM(E2:E20)</f>
        <v>1990.9499999999996</v>
      </c>
    </row>
    <row r="22" spans="1:5" x14ac:dyDescent="0.25">
      <c r="B22" t="s">
        <v>480</v>
      </c>
      <c r="E22" s="5">
        <f>+'Reconcile Sheet'!B48</f>
        <v>174.56000000000063</v>
      </c>
    </row>
    <row r="23" spans="1:5" x14ac:dyDescent="0.25">
      <c r="B23" t="s">
        <v>506</v>
      </c>
      <c r="D23" s="5">
        <f>+D21+D22</f>
        <v>215</v>
      </c>
      <c r="E23" s="5">
        <f>+E21+E22</f>
        <v>2165.5100000000002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Player Credit</vt:lpstr>
      <vt:lpstr>Uniform Charges</vt:lpstr>
      <vt:lpstr>Reconcile Sheet</vt:lpstr>
      <vt:lpstr>Daytona Report</vt:lpstr>
      <vt:lpstr>Daytona CK Recon Report</vt:lpstr>
      <vt:lpstr>Hrs volunteered</vt:lpstr>
      <vt:lpstr>'Daytona Report'!Print_Area</vt:lpstr>
    </vt:vector>
  </TitlesOfParts>
  <Company>Valencia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Sherri Dixon</dc:creator>
  <cp:lastModifiedBy>Sherri Dixon</cp:lastModifiedBy>
  <cp:lastPrinted>2015-04-22T21:04:22Z</cp:lastPrinted>
  <dcterms:created xsi:type="dcterms:W3CDTF">2015-02-03T17:43:09Z</dcterms:created>
  <dcterms:modified xsi:type="dcterms:W3CDTF">2015-04-23T02:08:23Z</dcterms:modified>
</cp:coreProperties>
</file>